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1th edition\Excel solutions\"/>
    </mc:Choice>
  </mc:AlternateContent>
  <bookViews>
    <workbookView xWindow="600" yWindow="270" windowWidth="11100" windowHeight="6285"/>
  </bookViews>
  <sheets>
    <sheet name="Chapter 9" sheetId="23" r:id="rId1"/>
    <sheet name="#1" sheetId="1" r:id="rId2"/>
    <sheet name="#2" sheetId="2" r:id="rId3"/>
    <sheet name="#3" sheetId="3" r:id="rId4"/>
    <sheet name="#4" sheetId="4" r:id="rId5"/>
    <sheet name="#5" sheetId="5" r:id="rId6"/>
    <sheet name="#6" sheetId="6" r:id="rId7"/>
    <sheet name="#7" sheetId="7" r:id="rId8"/>
    <sheet name="#8" sheetId="8" r:id="rId9"/>
    <sheet name="#9" sheetId="25" r:id="rId10"/>
    <sheet name="#10" sheetId="43" r:id="rId11"/>
    <sheet name="#11" sheetId="9" r:id="rId12"/>
    <sheet name="#12" sheetId="10" r:id="rId13"/>
    <sheet name="#13" sheetId="11" r:id="rId14"/>
    <sheet name="#14" sheetId="12" r:id="rId15"/>
    <sheet name="#15" sheetId="13" r:id="rId16"/>
    <sheet name="#16" sheetId="14" r:id="rId17"/>
    <sheet name="#17" sheetId="16" r:id="rId18"/>
    <sheet name="#18" sheetId="17" r:id="rId19"/>
    <sheet name="#19" sheetId="18" r:id="rId20"/>
    <sheet name="#20" sheetId="19" r:id="rId21"/>
    <sheet name="#21" sheetId="28" r:id="rId22"/>
    <sheet name="#22" sheetId="30" r:id="rId23"/>
    <sheet name="#23" sheetId="31" r:id="rId24"/>
    <sheet name="#24" sheetId="32" r:id="rId25"/>
    <sheet name="#25" sheetId="33" r:id="rId26"/>
    <sheet name="#26" sheetId="44" r:id="rId27"/>
    <sheet name="#27" sheetId="45" r:id="rId28"/>
    <sheet name="#28" sheetId="46" r:id="rId29"/>
    <sheet name="#29" sheetId="20" r:id="rId30"/>
    <sheet name="#30" sheetId="21" r:id="rId31"/>
    <sheet name="#31,32" sheetId="22" r:id="rId32"/>
    <sheet name="#32 Answer Report" sheetId="49" r:id="rId33"/>
    <sheet name="#33" sheetId="51" r:id="rId34"/>
    <sheet name="#34" sheetId="39" r:id="rId35"/>
  </sheets>
  <definedNames>
    <definedName name="solver_adj" localSheetId="31" hidden="1">'#31,32'!$D$7</definedName>
    <definedName name="solver_cvg" localSheetId="31" hidden="1">0.0001</definedName>
    <definedName name="solver_drv" localSheetId="31" hidden="1">1</definedName>
    <definedName name="solver_eng" localSheetId="31" hidden="1">1</definedName>
    <definedName name="solver_est" localSheetId="31" hidden="1">1</definedName>
    <definedName name="solver_itr" localSheetId="31" hidden="1">100</definedName>
    <definedName name="solver_lin" localSheetId="31" hidden="1">2</definedName>
    <definedName name="solver_mip" localSheetId="31" hidden="1">2147483647</definedName>
    <definedName name="solver_mni" localSheetId="31" hidden="1">30</definedName>
    <definedName name="solver_mrt" localSheetId="31" hidden="1">0.075</definedName>
    <definedName name="solver_msl" localSheetId="31" hidden="1">2</definedName>
    <definedName name="solver_neg" localSheetId="31" hidden="1">2</definedName>
    <definedName name="solver_nod" localSheetId="31" hidden="1">2147483647</definedName>
    <definedName name="solver_num" localSheetId="31" hidden="1">0</definedName>
    <definedName name="solver_nwt" localSheetId="31" hidden="1">1</definedName>
    <definedName name="solver_opt" localSheetId="31" hidden="1">'#31,32'!$D$21</definedName>
    <definedName name="solver_pre" localSheetId="31" hidden="1">0.000001</definedName>
    <definedName name="solver_rbv" localSheetId="31" hidden="1">1</definedName>
    <definedName name="solver_rlx" localSheetId="31" hidden="1">1</definedName>
    <definedName name="solver_rsd" localSheetId="31" hidden="1">0</definedName>
    <definedName name="solver_scl" localSheetId="31" hidden="1">2</definedName>
    <definedName name="solver_sho" localSheetId="31" hidden="1">2</definedName>
    <definedName name="solver_ssz" localSheetId="31" hidden="1">100</definedName>
    <definedName name="solver_tim" localSheetId="31" hidden="1">100</definedName>
    <definedName name="solver_tol" localSheetId="31" hidden="1">0.05</definedName>
    <definedName name="solver_typ" localSheetId="31" hidden="1">3</definedName>
    <definedName name="solver_val" localSheetId="31" hidden="1">62.4</definedName>
    <definedName name="solver_ver" localSheetId="31" hidden="1">3</definedName>
  </definedNames>
  <calcPr calcId="152511" iterate="1"/>
</workbook>
</file>

<file path=xl/calcChain.xml><?xml version="1.0" encoding="utf-8"?>
<calcChain xmlns="http://schemas.openxmlformats.org/spreadsheetml/2006/main">
  <c r="E23" i="39" l="1"/>
  <c r="E19" i="39"/>
  <c r="D21" i="51"/>
  <c r="D23" i="51" s="1"/>
  <c r="D20" i="51"/>
  <c r="D19" i="51"/>
  <c r="D17" i="51"/>
  <c r="D27" i="51" s="1"/>
  <c r="D25" i="51" l="1"/>
  <c r="E21" i="39" l="1"/>
  <c r="E22" i="39" s="1"/>
  <c r="D19" i="21" l="1"/>
  <c r="C16" i="10"/>
  <c r="D30" i="46" l="1"/>
  <c r="E30" i="46" s="1"/>
  <c r="F30" i="46" s="1"/>
  <c r="G30" i="46" s="1"/>
  <c r="H30" i="46" s="1"/>
  <c r="I30" i="46" s="1"/>
  <c r="D26" i="46"/>
  <c r="E26" i="46" s="1"/>
  <c r="F26" i="46" s="1"/>
  <c r="G26" i="46" s="1"/>
  <c r="H26" i="46" s="1"/>
  <c r="D25" i="46"/>
  <c r="E25" i="46" s="1"/>
  <c r="F25" i="46" s="1"/>
  <c r="G25" i="46" s="1"/>
  <c r="H25" i="46" s="1"/>
  <c r="I25" i="46" s="1"/>
  <c r="D19" i="45"/>
  <c r="D18" i="45"/>
  <c r="D17" i="44"/>
  <c r="D19" i="44" s="1"/>
  <c r="D15" i="44"/>
  <c r="D16" i="43"/>
  <c r="C16" i="43"/>
  <c r="D15" i="43"/>
  <c r="C15" i="43"/>
  <c r="D21" i="44" l="1"/>
  <c r="H27" i="46"/>
  <c r="H28" i="46" s="1"/>
  <c r="H29" i="46" s="1"/>
  <c r="H31" i="46" s="1"/>
  <c r="I26" i="46"/>
  <c r="I27" i="46" s="1"/>
  <c r="I28" i="46" s="1"/>
  <c r="I29" i="46" s="1"/>
  <c r="D41" i="46" s="1"/>
  <c r="F27" i="46"/>
  <c r="F28" i="46" s="1"/>
  <c r="F29" i="46" s="1"/>
  <c r="F31" i="46" s="1"/>
  <c r="E27" i="46"/>
  <c r="E28" i="46" s="1"/>
  <c r="E29" i="46" s="1"/>
  <c r="E31" i="46" s="1"/>
  <c r="G27" i="46"/>
  <c r="G28" i="46" s="1"/>
  <c r="G29" i="46" s="1"/>
  <c r="G31" i="46" s="1"/>
  <c r="D27" i="46"/>
  <c r="D20" i="45"/>
  <c r="D22" i="45" s="1"/>
  <c r="D24" i="45" s="1"/>
  <c r="D20" i="1"/>
  <c r="D19" i="1"/>
  <c r="C20" i="1"/>
  <c r="C19" i="1"/>
  <c r="D18" i="1"/>
  <c r="C18" i="1"/>
  <c r="D19" i="22"/>
  <c r="D21" i="22" s="1"/>
  <c r="D21" i="19"/>
  <c r="D19" i="19"/>
  <c r="D17" i="19"/>
  <c r="D15" i="18"/>
  <c r="D17" i="18" s="1"/>
  <c r="D18" i="12"/>
  <c r="D20" i="12" s="1"/>
  <c r="D16" i="10"/>
  <c r="D18" i="10" s="1"/>
  <c r="D14" i="6"/>
  <c r="D16" i="6" s="1"/>
  <c r="E20" i="39"/>
  <c r="D24" i="39"/>
  <c r="D25" i="39" s="1"/>
  <c r="D22" i="39"/>
  <c r="D25" i="33"/>
  <c r="D27" i="33" s="1"/>
  <c r="D21" i="33"/>
  <c r="D23" i="33" s="1"/>
  <c r="D17" i="33"/>
  <c r="D19" i="33" s="1"/>
  <c r="D18" i="32"/>
  <c r="D20" i="32" s="1"/>
  <c r="D19" i="31"/>
  <c r="D17" i="31"/>
  <c r="D16" i="30"/>
  <c r="D18" i="30"/>
  <c r="D20" i="30" s="1"/>
  <c r="D22" i="30" s="1"/>
  <c r="D16" i="28"/>
  <c r="D20" i="28" s="1"/>
  <c r="D22" i="28" s="1"/>
  <c r="D15" i="25"/>
  <c r="D17" i="25" s="1"/>
  <c r="D17" i="11"/>
  <c r="D18" i="11" s="1"/>
  <c r="D19" i="11" s="1"/>
  <c r="D20" i="11" s="1"/>
  <c r="D21" i="11" s="1"/>
  <c r="D22" i="11"/>
  <c r="D23" i="11"/>
  <c r="D24" i="11"/>
  <c r="D25" i="11"/>
  <c r="D26" i="11"/>
  <c r="D15" i="16"/>
  <c r="D9" i="3"/>
  <c r="D8" i="3"/>
  <c r="D17" i="3" s="1"/>
  <c r="D7" i="3"/>
  <c r="D16" i="13"/>
  <c r="D18" i="13" s="1"/>
  <c r="D19" i="14"/>
  <c r="D15" i="17"/>
  <c r="D36" i="20"/>
  <c r="D37" i="20" s="1"/>
  <c r="D38" i="20" s="1"/>
  <c r="D39" i="20" s="1"/>
  <c r="D32" i="20"/>
  <c r="D33" i="20" s="1"/>
  <c r="D34" i="20" s="1"/>
  <c r="D28" i="20"/>
  <c r="D29" i="20" s="1"/>
  <c r="D30" i="20" s="1"/>
  <c r="D24" i="20"/>
  <c r="D25" i="20" s="1"/>
  <c r="D26" i="20" s="1"/>
  <c r="D15" i="2"/>
  <c r="D20" i="21"/>
  <c r="D17" i="21"/>
  <c r="D15" i="4"/>
  <c r="D14" i="5"/>
  <c r="D15" i="7"/>
  <c r="D14" i="8"/>
  <c r="D21" i="9"/>
  <c r="D22" i="9" s="1"/>
  <c r="D23" i="9" s="1"/>
  <c r="D25" i="9" s="1"/>
  <c r="D23" i="19"/>
  <c r="D21" i="14" l="1"/>
  <c r="D23" i="14" s="1"/>
  <c r="D25" i="14" s="1"/>
  <c r="E24" i="39"/>
  <c r="E25" i="39" s="1"/>
  <c r="E26" i="39" s="1"/>
  <c r="E28" i="39" s="1"/>
  <c r="D26" i="45"/>
  <c r="D15" i="3"/>
  <c r="D21" i="21"/>
  <c r="D23" i="21" s="1"/>
  <c r="I31" i="46"/>
  <c r="D33" i="46" s="1"/>
  <c r="D35" i="46" s="1"/>
  <c r="D28" i="46"/>
  <c r="D29" i="46" s="1"/>
  <c r="D31" i="46" s="1"/>
  <c r="D21" i="31"/>
  <c r="D23" i="31" s="1"/>
  <c r="D28" i="11"/>
  <c r="D18" i="28"/>
  <c r="D24" i="28" s="1"/>
  <c r="D43" i="46" l="1"/>
  <c r="D45" i="46" s="1"/>
  <c r="D37" i="46"/>
  <c r="D39" i="46" s="1"/>
</calcChain>
</file>

<file path=xl/sharedStrings.xml><?xml version="1.0" encoding="utf-8"?>
<sst xmlns="http://schemas.openxmlformats.org/spreadsheetml/2006/main" count="488" uniqueCount="263">
  <si>
    <t>Question 3</t>
  </si>
  <si>
    <t>Input area:</t>
  </si>
  <si>
    <t>Output area:</t>
  </si>
  <si>
    <t>Question 1</t>
  </si>
  <si>
    <t>Dividend paid</t>
  </si>
  <si>
    <t>Dividend growth rate</t>
  </si>
  <si>
    <t>Required return</t>
  </si>
  <si>
    <t>Question 2</t>
  </si>
  <si>
    <t>Question 4</t>
  </si>
  <si>
    <t>Question 5</t>
  </si>
  <si>
    <t>Question 6</t>
  </si>
  <si>
    <t>Stock price</t>
  </si>
  <si>
    <t>Question 7</t>
  </si>
  <si>
    <t>Years until dividend ceases</t>
  </si>
  <si>
    <t>Current dividend</t>
  </si>
  <si>
    <t>Question 8</t>
  </si>
  <si>
    <t>Share price</t>
  </si>
  <si>
    <t>Question 9</t>
  </si>
  <si>
    <t>Initial required return</t>
  </si>
  <si>
    <t>Second required return</t>
  </si>
  <si>
    <t>Initial # of years</t>
  </si>
  <si>
    <t>Second # of years</t>
  </si>
  <si>
    <t>Final required return</t>
  </si>
  <si>
    <t>Question 10</t>
  </si>
  <si>
    <t>Years until first dividend</t>
  </si>
  <si>
    <t>Future dividend</t>
  </si>
  <si>
    <t>Dividend</t>
  </si>
  <si>
    <t>Question 12</t>
  </si>
  <si>
    <t>Dividend one</t>
  </si>
  <si>
    <t>Dividend two</t>
  </si>
  <si>
    <t>Dividend three</t>
  </si>
  <si>
    <t>Dividend four</t>
  </si>
  <si>
    <t>Question 13</t>
  </si>
  <si>
    <t>Question 14</t>
  </si>
  <si>
    <t>Initial dividend growth rate</t>
  </si>
  <si>
    <t>Second growth rate</t>
  </si>
  <si>
    <t>Final growth rate</t>
  </si>
  <si>
    <t>Question 15</t>
  </si>
  <si>
    <t>Question 16</t>
  </si>
  <si>
    <t>Question 17</t>
  </si>
  <si>
    <t>Years until dividend begins</t>
  </si>
  <si>
    <t>Question 18</t>
  </si>
  <si>
    <t>Dividend yield</t>
  </si>
  <si>
    <t>Change in price</t>
  </si>
  <si>
    <t>P/E ratio</t>
  </si>
  <si>
    <t>Commons shares outstanding</t>
  </si>
  <si>
    <t>Question 19</t>
  </si>
  <si>
    <t>Most recent dividend</t>
  </si>
  <si>
    <t>Stock X dividend growth rate</t>
  </si>
  <si>
    <t>Stock W dividend growth rate</t>
  </si>
  <si>
    <t>Stock Y dividend growth rate</t>
  </si>
  <si>
    <t>Stock Z:</t>
  </si>
  <si>
    <t>Initial growth rate</t>
  </si>
  <si>
    <t>Dividend yields:</t>
  </si>
  <si>
    <t>In all cases, the required return is 20%, but this return is distributed</t>
  </si>
  <si>
    <t>differently between current income and capital gains. High growth</t>
  </si>
  <si>
    <t xml:space="preserve">stocks have an appreciable capital gains component but a </t>
  </si>
  <si>
    <t>relatively small current income yield; conversely, mature, negative-</t>
  </si>
  <si>
    <t>growth stocks provide a high current income but also price</t>
  </si>
  <si>
    <t>depreciation over time.</t>
  </si>
  <si>
    <t>Question 20</t>
  </si>
  <si>
    <t># of dividends per year</t>
  </si>
  <si>
    <t>Year 1 dividend growth rate</t>
  </si>
  <si>
    <t>Year 2 dividend growth rate</t>
  </si>
  <si>
    <t>Year 3 dividend growth rate</t>
  </si>
  <si>
    <t>Input boxes in tan</t>
  </si>
  <si>
    <t>Output boxes in yellow</t>
  </si>
  <si>
    <t>Given data in blue</t>
  </si>
  <si>
    <t>Calculations in red</t>
  </si>
  <si>
    <t>Answers in green</t>
  </si>
  <si>
    <t>a.</t>
  </si>
  <si>
    <t>b.</t>
  </si>
  <si>
    <t>Year 4 dividend growth rate</t>
  </si>
  <si>
    <r>
      <t>X D</t>
    </r>
    <r>
      <rPr>
        <vertAlign val="subscript"/>
        <sz val="12"/>
        <color indexed="10"/>
        <rFont val="Arial"/>
        <family val="2"/>
      </rPr>
      <t>0</t>
    </r>
  </si>
  <si>
    <t>Year</t>
  </si>
  <si>
    <t>Years of growth</t>
  </si>
  <si>
    <t>use the "Solver" or "Goal Seek" functions.</t>
  </si>
  <si>
    <t>Price at end of supernormal growth</t>
  </si>
  <si>
    <t>Earnings</t>
  </si>
  <si>
    <t>ROE</t>
  </si>
  <si>
    <t>Retention ratio</t>
  </si>
  <si>
    <t>Growth rate</t>
  </si>
  <si>
    <t>Next year's earnings</t>
  </si>
  <si>
    <t>Tax rate</t>
  </si>
  <si>
    <t>Stock price today</t>
  </si>
  <si>
    <t>Question 21</t>
  </si>
  <si>
    <t>Question 22</t>
  </si>
  <si>
    <t>Dividend next quarter</t>
  </si>
  <si>
    <t>Quarters of constant dividend</t>
  </si>
  <si>
    <t>Annual required return</t>
  </si>
  <si>
    <t>Quarterly required return</t>
  </si>
  <si>
    <t>PV of fixed dividends</t>
  </si>
  <si>
    <t>PV of stock at end of no growth</t>
  </si>
  <si>
    <t>Years of constant dividends</t>
  </si>
  <si>
    <t>Constant dividend factor</t>
  </si>
  <si>
    <t>Future stock price factor</t>
  </si>
  <si>
    <t>Total constant factor</t>
  </si>
  <si>
    <t>Next year's dividend</t>
  </si>
  <si>
    <t>Question 24</t>
  </si>
  <si>
    <t>Question 25</t>
  </si>
  <si>
    <t>Net income</t>
  </si>
  <si>
    <t>Payout ratio</t>
  </si>
  <si>
    <t>Shares of stock outstanding</t>
  </si>
  <si>
    <t>Current dividends per share</t>
  </si>
  <si>
    <t>Dividend next year</t>
  </si>
  <si>
    <t>Question 26</t>
  </si>
  <si>
    <t>Previous dividend payment</t>
  </si>
  <si>
    <t xml:space="preserve">Years since previous dividend </t>
  </si>
  <si>
    <t>Years dividend will grow at historic rate</t>
  </si>
  <si>
    <t>Dividend growth rate after</t>
  </si>
  <si>
    <t>Historic growth rate</t>
  </si>
  <si>
    <t>Year to calculate dividend</t>
  </si>
  <si>
    <t>Dividend in requested year</t>
  </si>
  <si>
    <t>Question 27</t>
  </si>
  <si>
    <t>Shares outstanding</t>
  </si>
  <si>
    <t>Current earnings</t>
  </si>
  <si>
    <t>Additional earnings</t>
  </si>
  <si>
    <t>b)</t>
  </si>
  <si>
    <t xml:space="preserve">a) </t>
  </si>
  <si>
    <t>Value of company's stock</t>
  </si>
  <si>
    <t>c)</t>
  </si>
  <si>
    <t>Current share price</t>
  </si>
  <si>
    <t>New share price</t>
  </si>
  <si>
    <t>Question 30</t>
  </si>
  <si>
    <t>NPVGO</t>
  </si>
  <si>
    <t>Earnings per year</t>
  </si>
  <si>
    <t>Growth rate in earnings</t>
  </si>
  <si>
    <t>Year for new project</t>
  </si>
  <si>
    <t>Earnings percentage to fund project</t>
  </si>
  <si>
    <t>Increase in earnings from project</t>
  </si>
  <si>
    <t>EPS/Dividends per share</t>
  </si>
  <si>
    <t>Value of firm with learning curve</t>
  </si>
  <si>
    <t>EPS in year of investment opportunity</t>
  </si>
  <si>
    <t>Initial required investment in year</t>
  </si>
  <si>
    <t>Increase in EPS from project</t>
  </si>
  <si>
    <t>Value of increased earnings in year</t>
  </si>
  <si>
    <t xml:space="preserve">NPVGO in year </t>
  </si>
  <si>
    <t>NPVGO today</t>
  </si>
  <si>
    <t>EPS</t>
  </si>
  <si>
    <t>Investment one year from today</t>
  </si>
  <si>
    <t>Increase in EPS 2 years from today</t>
  </si>
  <si>
    <t>Increase in EPS 3 years from today</t>
  </si>
  <si>
    <t>Value today of Year 2 EPS increase</t>
  </si>
  <si>
    <t>Value today of Year 3 EPS increase</t>
  </si>
  <si>
    <t>Value today of investment cost</t>
  </si>
  <si>
    <t>Share price in 4 years</t>
  </si>
  <si>
    <t>Question 28</t>
  </si>
  <si>
    <t xml:space="preserve">NOTE: Some functions used in these spreadsheets may require that </t>
  </si>
  <si>
    <t>the "Analysis ToolPak" or "Solver Add-in" be installed in Excel.</t>
  </si>
  <si>
    <t xml:space="preserve">Required return </t>
  </si>
  <si>
    <t xml:space="preserve">Dividend yield  </t>
  </si>
  <si>
    <t xml:space="preserve">Capital gains yield  </t>
  </si>
  <si>
    <t xml:space="preserve">Price </t>
  </si>
  <si>
    <t xml:space="preserve">Required return  </t>
  </si>
  <si>
    <t xml:space="preserve">Current dividend  </t>
  </si>
  <si>
    <t xml:space="preserve">Share price </t>
  </si>
  <si>
    <t xml:space="preserve">Present value at beginning of final period </t>
  </si>
  <si>
    <t xml:space="preserve">Present value at beginning of second period </t>
  </si>
  <si>
    <t xml:space="preserve">Present value at beginning of initial period </t>
  </si>
  <si>
    <t>Year 4 price</t>
  </si>
  <si>
    <t>Dividend growth rate for 3 years</t>
  </si>
  <si>
    <t>Dividend growth rate thereafter</t>
  </si>
  <si>
    <r>
      <t>P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 xml:space="preserve"> </t>
    </r>
  </si>
  <si>
    <t xml:space="preserve">Current dividend </t>
  </si>
  <si>
    <t xml:space="preserve">Next year's dividend </t>
  </si>
  <si>
    <t>Price 1 year before dividend</t>
  </si>
  <si>
    <t xml:space="preserve">Yesterday's closing price </t>
  </si>
  <si>
    <t xml:space="preserve">Earnings per share </t>
  </si>
  <si>
    <t xml:space="preserve">Net income </t>
  </si>
  <si>
    <t>Last price</t>
  </si>
  <si>
    <t>Question 23</t>
  </si>
  <si>
    <t xml:space="preserve">Stock W price </t>
  </si>
  <si>
    <t xml:space="preserve">Dividend yield </t>
  </si>
  <si>
    <t xml:space="preserve">Capital gains yield </t>
  </si>
  <si>
    <t xml:space="preserve">Stock X price </t>
  </si>
  <si>
    <t xml:space="preserve">Stock Y price </t>
  </si>
  <si>
    <t xml:space="preserve">Stock Z price at final rate </t>
  </si>
  <si>
    <t xml:space="preserve">Stock Z current price </t>
  </si>
  <si>
    <t xml:space="preserve">Next four dividends </t>
  </si>
  <si>
    <t xml:space="preserve">Effective quarterly rate </t>
  </si>
  <si>
    <t xml:space="preserve">Effective first dividend </t>
  </si>
  <si>
    <t>Year 3 stock price</t>
  </si>
  <si>
    <t>PV of future stock price today</t>
  </si>
  <si>
    <t>To install these:</t>
  </si>
  <si>
    <t>1) Click the Microsoft Office Button, and then click Excel Options</t>
  </si>
  <si>
    <t>2) Click Add-Ins, and then in the Manage box, select Add-ins.</t>
  </si>
  <si>
    <t>3) Click Go.</t>
  </si>
  <si>
    <t>4) In the Add-Ins available box, select the Solver Add-in and Analysis ToolPak check boxes, and then click OK.</t>
  </si>
  <si>
    <t xml:space="preserve">5) After you load the Solver Add-in, the Solver command is available in the Analysis group on the Data tab. </t>
  </si>
  <si>
    <t>Chapter 9</t>
  </si>
  <si>
    <t>Question 34</t>
  </si>
  <si>
    <t>Question 33</t>
  </si>
  <si>
    <t>Question 11</t>
  </si>
  <si>
    <t>Requested year</t>
  </si>
  <si>
    <t>Benchmark PE</t>
  </si>
  <si>
    <t>Input Area:</t>
  </si>
  <si>
    <t>Earnings growth rate</t>
  </si>
  <si>
    <t>Output Area:</t>
  </si>
  <si>
    <t>Current stock price</t>
  </si>
  <si>
    <t>Next year's EPS</t>
  </si>
  <si>
    <t>Target stock price next year</t>
  </si>
  <si>
    <t>c.</t>
  </si>
  <si>
    <t>Implicit return</t>
  </si>
  <si>
    <t>Costs</t>
  </si>
  <si>
    <t>Sales</t>
  </si>
  <si>
    <t>EBITDA</t>
  </si>
  <si>
    <t>EV/EBITDA multiple</t>
  </si>
  <si>
    <t>Debt</t>
  </si>
  <si>
    <t>Cash</t>
  </si>
  <si>
    <t>Enterprise value (EV)</t>
  </si>
  <si>
    <t>Equity value</t>
  </si>
  <si>
    <t>Year 1</t>
  </si>
  <si>
    <t>Year 2</t>
  </si>
  <si>
    <t>Year 3</t>
  </si>
  <si>
    <t>Year 4</t>
  </si>
  <si>
    <t>Year 5</t>
  </si>
  <si>
    <t>Pretax profit</t>
  </si>
  <si>
    <t>Year 6</t>
  </si>
  <si>
    <t>Taxes</t>
  </si>
  <si>
    <t>Net investment</t>
  </si>
  <si>
    <t>Cash flow</t>
  </si>
  <si>
    <t>Revenue, cost, and investment growth</t>
  </si>
  <si>
    <t>Year 7 cash flow</t>
  </si>
  <si>
    <t>Terminal value in Year 6</t>
  </si>
  <si>
    <t>Value of company today</t>
  </si>
  <si>
    <t>Price per share</t>
  </si>
  <si>
    <t>Year 6 teminal value</t>
  </si>
  <si>
    <t>Terminal PE ratio</t>
  </si>
  <si>
    <t>Terminal growth rate</t>
  </si>
  <si>
    <t>Microsoft Excel 14.0 Answer Report</t>
  </si>
  <si>
    <t>Result: Solver found a solution.  All Constraints and optimality conditions are satisfied.</t>
  </si>
  <si>
    <t>Solver Engine</t>
  </si>
  <si>
    <t>Engine: GRG Nonlinear</t>
  </si>
  <si>
    <t>Solver Options</t>
  </si>
  <si>
    <t>Max Time 100 sec,  Iterations 100, Precision 0.000001</t>
  </si>
  <si>
    <t xml:space="preserve"> Convergence 0.0001, Population Size 100, Random Seed 0, Derivatives Forward, Require Bounds</t>
  </si>
  <si>
    <t>Max Subproblems Unlimited, Max Integer Sols Unlimited, Integer Tolerance 5%, Solve Without Integer Constraints</t>
  </si>
  <si>
    <t>Objective Cell (Value Of)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</si>
  <si>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</si>
  <si>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</si>
  <si>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</si>
  <si>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</si>
  <si>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</si>
  <si>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</si>
  <si>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</si>
  <si>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</si>
  <si>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</si>
  <si>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</si>
  <si>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</si>
  <si>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$D$21</t>
  </si>
  <si>
    <t>$D$7</t>
  </si>
  <si>
    <t>Contin</t>
  </si>
  <si>
    <t>Binding</t>
  </si>
  <si>
    <t>Question 29</t>
  </si>
  <si>
    <t>Problems 1-34</t>
  </si>
  <si>
    <t>Questions 31,32</t>
  </si>
  <si>
    <t xml:space="preserve">To solve problem #32, adjust the required return until </t>
  </si>
  <si>
    <t>the share price is equal to $62.40. Alternatively, you could</t>
  </si>
  <si>
    <t>Worksheet: [CF 11th edition Chapter 09.xlsx]#31,32</t>
  </si>
  <si>
    <t>Report Created: 12/12/2014 4:03:32 PM</t>
  </si>
  <si>
    <t>Solution Time: 0.062 Seconds.</t>
  </si>
  <si>
    <t>Iterations: 1 Subproblems: 0</t>
  </si>
  <si>
    <t>$D$21=62.4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</si>
</sst>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_);_(* \(#,##0.00\);_(* &quot;-&quot;_);_(@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_(&quot;$&quot;* #,##0.00_);_(&quot;$&quot;* \(#,##0.00\);_(&quot;$&quot;* &quot;-&quot;_);_(@_)"/>
    <numFmt numFmtId="171" formatCode="_(* #,##0.0000_);_(* \(#,##0.0000\);_(* &quot;-&quot;????_);_(@_)"/>
    <numFmt numFmtId="172" formatCode="_(* #,##0.0_);_(* \(#,##0.0\);_(* &quot;-&quot;_);_(@_)"/>
  </numFmts>
  <fonts count="3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48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57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color indexed="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vertAlign val="subscript"/>
      <sz val="12"/>
      <name val="Arial"/>
      <family val="2"/>
    </font>
    <font>
      <vertAlign val="subscript"/>
      <sz val="12"/>
      <color indexed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0"/>
      <color theme="0"/>
      <name val="Arial"/>
      <family val="2"/>
    </font>
    <font>
      <b/>
      <i/>
      <sz val="12"/>
      <name val="Arial"/>
      <family val="2"/>
    </font>
    <font>
      <b/>
      <sz val="12"/>
      <color rgb="FF339966"/>
      <name val="Arial"/>
      <family val="2"/>
    </font>
    <font>
      <i/>
      <u/>
      <sz val="12"/>
      <name val="Arial"/>
      <family val="2"/>
    </font>
    <font>
      <i/>
      <u val="singleAccounting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0" xfId="0" applyFont="1" applyFill="1" applyBorder="1" applyAlignment="1"/>
    <xf numFmtId="0" fontId="2" fillId="3" borderId="0" xfId="0" applyFont="1" applyFill="1" applyBorder="1"/>
    <xf numFmtId="0" fontId="2" fillId="3" borderId="5" xfId="0" applyFont="1" applyFill="1" applyBorder="1"/>
    <xf numFmtId="41" fontId="5" fillId="3" borderId="0" xfId="2" applyNumberFormat="1" applyFont="1" applyFill="1" applyBorder="1"/>
    <xf numFmtId="44" fontId="7" fillId="3" borderId="9" xfId="2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4" fontId="7" fillId="3" borderId="0" xfId="2" applyFont="1" applyFill="1" applyBorder="1"/>
    <xf numFmtId="44" fontId="7" fillId="3" borderId="9" xfId="2" applyNumberFormat="1" applyFont="1" applyFill="1" applyBorder="1"/>
    <xf numFmtId="0" fontId="2" fillId="3" borderId="0" xfId="0" applyFont="1" applyFill="1"/>
    <xf numFmtId="10" fontId="7" fillId="3" borderId="9" xfId="3" applyNumberFormat="1" applyFont="1" applyFill="1" applyBorder="1"/>
    <xf numFmtId="9" fontId="7" fillId="3" borderId="0" xfId="3" applyFont="1" applyFill="1" applyBorder="1" applyAlignment="1">
      <alignment horizontal="right"/>
    </xf>
    <xf numFmtId="10" fontId="7" fillId="3" borderId="9" xfId="3" applyNumberFormat="1" applyFont="1" applyFill="1" applyBorder="1" applyAlignment="1">
      <alignment horizontal="right"/>
    </xf>
    <xf numFmtId="10" fontId="7" fillId="3" borderId="9" xfId="0" applyNumberFormat="1" applyFont="1" applyFill="1" applyBorder="1"/>
    <xf numFmtId="164" fontId="5" fillId="3" borderId="5" xfId="2" applyNumberFormat="1" applyFont="1" applyFill="1" applyBorder="1"/>
    <xf numFmtId="44" fontId="6" fillId="3" borderId="0" xfId="2" applyNumberFormat="1" applyFont="1" applyFill="1" applyBorder="1"/>
    <xf numFmtId="44" fontId="6" fillId="3" borderId="0" xfId="2" applyFont="1" applyFill="1" applyBorder="1"/>
    <xf numFmtId="43" fontId="6" fillId="3" borderId="0" xfId="1" applyFont="1" applyFill="1" applyBorder="1"/>
    <xf numFmtId="167" fontId="6" fillId="3" borderId="0" xfId="2" applyNumberFormat="1" applyFont="1" applyFill="1" applyBorder="1"/>
    <xf numFmtId="0" fontId="2" fillId="0" borderId="0" xfId="0" applyFont="1" applyFill="1" applyBorder="1"/>
    <xf numFmtId="44" fontId="4" fillId="0" borderId="0" xfId="2" applyNumberFormat="1" applyFont="1" applyFill="1" applyBorder="1"/>
    <xf numFmtId="9" fontId="4" fillId="0" borderId="0" xfId="3" applyNumberFormat="1" applyFont="1" applyFill="1" applyBorder="1"/>
    <xf numFmtId="37" fontId="4" fillId="0" borderId="0" xfId="1" applyNumberFormat="1" applyFont="1" applyFill="1" applyBorder="1"/>
    <xf numFmtId="44" fontId="4" fillId="2" borderId="5" xfId="2" applyNumberFormat="1" applyFont="1" applyFill="1" applyBorder="1"/>
    <xf numFmtId="9" fontId="4" fillId="2" borderId="5" xfId="3" applyNumberFormat="1" applyFont="1" applyFill="1" applyBorder="1"/>
    <xf numFmtId="166" fontId="4" fillId="2" borderId="5" xfId="3" applyNumberFormat="1" applyFont="1" applyFill="1" applyBorder="1"/>
    <xf numFmtId="37" fontId="4" fillId="2" borderId="5" xfId="1" applyNumberFormat="1" applyFont="1" applyFill="1" applyBorder="1"/>
    <xf numFmtId="41" fontId="5" fillId="3" borderId="5" xfId="2" applyNumberFormat="1" applyFont="1" applyFill="1" applyBorder="1"/>
    <xf numFmtId="164" fontId="7" fillId="3" borderId="9" xfId="2" applyNumberFormat="1" applyFont="1" applyFill="1" applyBorder="1"/>
    <xf numFmtId="0" fontId="3" fillId="2" borderId="0" xfId="0" applyFont="1" applyFill="1" applyBorder="1"/>
    <xf numFmtId="0" fontId="3" fillId="3" borderId="0" xfId="0" applyFont="1" applyFill="1" applyBorder="1"/>
    <xf numFmtId="9" fontId="7" fillId="3" borderId="0" xfId="3" applyFont="1" applyFill="1" applyBorder="1"/>
    <xf numFmtId="9" fontId="7" fillId="3" borderId="0" xfId="2" applyNumberFormat="1" applyFont="1" applyFill="1" applyBorder="1"/>
    <xf numFmtId="10" fontId="6" fillId="3" borderId="0" xfId="3" applyNumberFormat="1" applyFont="1" applyFill="1" applyBorder="1"/>
    <xf numFmtId="167" fontId="6" fillId="3" borderId="5" xfId="2" applyNumberFormat="1" applyFont="1" applyFill="1" applyBorder="1"/>
    <xf numFmtId="44" fontId="7" fillId="3" borderId="0" xfId="2" applyNumberFormat="1" applyFont="1" applyFill="1" applyBorder="1"/>
    <xf numFmtId="9" fontId="7" fillId="3" borderId="7" xfId="3" applyFont="1" applyFill="1" applyBorder="1"/>
    <xf numFmtId="167" fontId="6" fillId="3" borderId="8" xfId="2" applyNumberFormat="1" applyFont="1" applyFill="1" applyBorder="1"/>
    <xf numFmtId="0" fontId="8" fillId="4" borderId="0" xfId="0" applyFont="1" applyFill="1" applyBorder="1"/>
    <xf numFmtId="0" fontId="8" fillId="4" borderId="0" xfId="0" applyFont="1" applyFill="1"/>
    <xf numFmtId="0" fontId="0" fillId="4" borderId="0" xfId="0" applyFill="1"/>
    <xf numFmtId="2" fontId="9" fillId="4" borderId="0" xfId="0" applyNumberFormat="1" applyFont="1" applyFill="1" applyBorder="1" applyAlignment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7" fillId="4" borderId="0" xfId="0" applyFont="1" applyFill="1" applyBorder="1"/>
    <xf numFmtId="0" fontId="0" fillId="4" borderId="0" xfId="0" applyFill="1" applyBorder="1"/>
    <xf numFmtId="44" fontId="5" fillId="2" borderId="0" xfId="2" applyNumberFormat="1" applyFont="1" applyFill="1" applyBorder="1"/>
    <xf numFmtId="9" fontId="5" fillId="2" borderId="0" xfId="3" applyFont="1" applyFill="1" applyBorder="1"/>
    <xf numFmtId="9" fontId="5" fillId="2" borderId="0" xfId="3" applyNumberFormat="1" applyFont="1" applyFill="1" applyBorder="1"/>
    <xf numFmtId="37" fontId="5" fillId="2" borderId="0" xfId="1" applyNumberFormat="1" applyFont="1" applyFill="1" applyBorder="1"/>
    <xf numFmtId="44" fontId="6" fillId="2" borderId="0" xfId="2" applyNumberFormat="1" applyFont="1" applyFill="1" applyBorder="1"/>
    <xf numFmtId="9" fontId="6" fillId="2" borderId="0" xfId="3" applyFont="1" applyFill="1" applyBorder="1"/>
    <xf numFmtId="166" fontId="5" fillId="2" borderId="0" xfId="3" applyNumberFormat="1" applyFont="1" applyFill="1" applyBorder="1"/>
    <xf numFmtId="44" fontId="5" fillId="2" borderId="0" xfId="2" applyFont="1" applyFill="1" applyBorder="1"/>
    <xf numFmtId="165" fontId="5" fillId="2" borderId="0" xfId="1" applyNumberFormat="1" applyFont="1" applyFill="1" applyBorder="1"/>
    <xf numFmtId="43" fontId="5" fillId="2" borderId="0" xfId="1" applyFont="1" applyFill="1" applyBorder="1"/>
    <xf numFmtId="10" fontId="5" fillId="2" borderId="0" xfId="3" applyNumberFormat="1" applyFont="1" applyFill="1" applyBorder="1"/>
    <xf numFmtId="0" fontId="3" fillId="3" borderId="4" xfId="0" applyFont="1" applyFill="1" applyBorder="1"/>
    <xf numFmtId="10" fontId="7" fillId="3" borderId="9" xfId="2" applyNumberFormat="1" applyFont="1" applyFill="1" applyBorder="1"/>
    <xf numFmtId="9" fontId="7" fillId="3" borderId="9" xfId="3" applyFont="1" applyFill="1" applyBorder="1"/>
    <xf numFmtId="9" fontId="7" fillId="3" borderId="9" xfId="2" applyNumberFormat="1" applyFont="1" applyFill="1" applyBorder="1"/>
    <xf numFmtId="0" fontId="19" fillId="0" borderId="0" xfId="0" applyFont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41" fontId="5" fillId="2" borderId="0" xfId="3" applyNumberFormat="1" applyFont="1" applyFill="1" applyBorder="1"/>
    <xf numFmtId="43" fontId="6" fillId="3" borderId="0" xfId="0" applyNumberFormat="1" applyFont="1" applyFill="1" applyBorder="1"/>
    <xf numFmtId="44" fontId="6" fillId="3" borderId="0" xfId="0" applyNumberFormat="1" applyFont="1" applyFill="1" applyBorder="1"/>
    <xf numFmtId="43" fontId="5" fillId="2" borderId="0" xfId="1" applyNumberFormat="1" applyFont="1" applyFill="1" applyBorder="1"/>
    <xf numFmtId="44" fontId="5" fillId="2" borderId="0" xfId="1" applyNumberFormat="1" applyFont="1" applyFill="1" applyBorder="1"/>
    <xf numFmtId="169" fontId="6" fillId="3" borderId="0" xfId="2" applyNumberFormat="1" applyFont="1" applyFill="1" applyBorder="1"/>
    <xf numFmtId="164" fontId="5" fillId="2" borderId="0" xfId="2" applyNumberFormat="1" applyFont="1" applyFill="1" applyBorder="1"/>
    <xf numFmtId="10" fontId="7" fillId="3" borderId="0" xfId="3" applyNumberFormat="1" applyFont="1" applyFill="1" applyBorder="1"/>
    <xf numFmtId="44" fontId="2" fillId="3" borderId="0" xfId="0" applyNumberFormat="1" applyFont="1" applyFill="1" applyBorder="1" applyAlignment="1"/>
    <xf numFmtId="44" fontId="6" fillId="3" borderId="0" xfId="0" applyNumberFormat="1" applyFont="1" applyFill="1" applyBorder="1" applyAlignment="1"/>
    <xf numFmtId="41" fontId="5" fillId="2" borderId="0" xfId="0" applyNumberFormat="1" applyFont="1" applyFill="1" applyBorder="1"/>
    <xf numFmtId="10" fontId="6" fillId="3" borderId="0" xfId="3" applyNumberFormat="1" applyFont="1" applyFill="1" applyBorder="1" applyAlignment="1"/>
    <xf numFmtId="44" fontId="7" fillId="3" borderId="9" xfId="0" applyNumberFormat="1" applyFont="1" applyFill="1" applyBorder="1" applyAlignment="1"/>
    <xf numFmtId="44" fontId="5" fillId="2" borderId="0" xfId="3" applyNumberFormat="1" applyFont="1" applyFill="1" applyBorder="1"/>
    <xf numFmtId="171" fontId="6" fillId="3" borderId="0" xfId="3" applyNumberFormat="1" applyFont="1" applyFill="1" applyBorder="1" applyAlignment="1"/>
    <xf numFmtId="171" fontId="6" fillId="3" borderId="0" xfId="0" applyNumberFormat="1" applyFont="1" applyFill="1" applyBorder="1" applyAlignment="1"/>
    <xf numFmtId="164" fontId="5" fillId="2" borderId="0" xfId="3" applyNumberFormat="1" applyFont="1" applyFill="1" applyBorder="1"/>
    <xf numFmtId="42" fontId="5" fillId="2" borderId="0" xfId="3" applyNumberFormat="1" applyFont="1" applyFill="1" applyBorder="1"/>
    <xf numFmtId="2" fontId="7" fillId="3" borderId="9" xfId="0" applyNumberFormat="1" applyFont="1" applyFill="1" applyBorder="1"/>
    <xf numFmtId="2" fontId="7" fillId="3" borderId="0" xfId="0" applyNumberFormat="1" applyFont="1" applyFill="1" applyBorder="1"/>
    <xf numFmtId="43" fontId="7" fillId="3" borderId="9" xfId="2" applyNumberFormat="1" applyFont="1" applyFill="1" applyBorder="1"/>
    <xf numFmtId="44" fontId="7" fillId="3" borderId="9" xfId="0" applyNumberFormat="1" applyFont="1" applyFill="1" applyBorder="1"/>
    <xf numFmtId="41" fontId="2" fillId="3" borderId="0" xfId="0" applyNumberFormat="1" applyFont="1" applyFill="1" applyBorder="1"/>
    <xf numFmtId="41" fontId="6" fillId="3" borderId="0" xfId="0" applyNumberFormat="1" applyFont="1" applyFill="1" applyBorder="1"/>
    <xf numFmtId="170" fontId="6" fillId="3" borderId="0" xfId="0" applyNumberFormat="1" applyFont="1" applyFill="1" applyBorder="1"/>
    <xf numFmtId="44" fontId="6" fillId="3" borderId="0" xfId="3" applyNumberFormat="1" applyFont="1" applyFill="1"/>
    <xf numFmtId="169" fontId="6" fillId="3" borderId="0" xfId="0" applyNumberFormat="1" applyFont="1" applyFill="1" applyBorder="1"/>
    <xf numFmtId="0" fontId="20" fillId="4" borderId="0" xfId="0" applyFont="1" applyFill="1" applyBorder="1"/>
    <xf numFmtId="44" fontId="21" fillId="3" borderId="0" xfId="0" applyNumberFormat="1" applyFont="1" applyFill="1" applyBorder="1"/>
    <xf numFmtId="44" fontId="6" fillId="3" borderId="0" xfId="1" applyNumberFormat="1" applyFont="1" applyFill="1" applyBorder="1"/>
    <xf numFmtId="168" fontId="6" fillId="3" borderId="0" xfId="2" applyNumberFormat="1" applyFont="1" applyFill="1" applyBorder="1"/>
    <xf numFmtId="170" fontId="5" fillId="2" borderId="0" xfId="0" applyNumberFormat="1" applyFont="1" applyFill="1" applyBorder="1"/>
    <xf numFmtId="0" fontId="22" fillId="5" borderId="0" xfId="0" applyFont="1" applyFill="1"/>
    <xf numFmtId="0" fontId="22" fillId="5" borderId="0" xfId="0" applyFont="1" applyFill="1" applyAlignment="1"/>
    <xf numFmtId="0" fontId="22" fillId="5" borderId="0" xfId="0" applyFont="1" applyFill="1" applyBorder="1"/>
    <xf numFmtId="0" fontId="22" fillId="5" borderId="0" xfId="0" applyFont="1" applyFill="1" applyBorder="1" applyAlignment="1"/>
    <xf numFmtId="164" fontId="7" fillId="3" borderId="9" xfId="3" applyNumberFormat="1" applyFont="1" applyFill="1" applyBorder="1"/>
    <xf numFmtId="0" fontId="23" fillId="3" borderId="4" xfId="0" applyFont="1" applyFill="1" applyBorder="1"/>
    <xf numFmtId="44" fontId="24" fillId="3" borderId="9" xfId="0" applyNumberFormat="1" applyFont="1" applyFill="1" applyBorder="1"/>
    <xf numFmtId="10" fontId="24" fillId="6" borderId="9" xfId="3" applyNumberFormat="1" applyFont="1" applyFill="1" applyBorder="1"/>
    <xf numFmtId="42" fontId="21" fillId="3" borderId="0" xfId="0" applyNumberFormat="1" applyFont="1" applyFill="1" applyBorder="1"/>
    <xf numFmtId="0" fontId="21" fillId="3" borderId="0" xfId="0" applyFont="1" applyFill="1" applyBorder="1"/>
    <xf numFmtId="41" fontId="21" fillId="3" borderId="10" xfId="0" applyNumberFormat="1" applyFont="1" applyFill="1" applyBorder="1"/>
    <xf numFmtId="172" fontId="5" fillId="2" borderId="0" xfId="3" applyNumberFormat="1" applyFont="1" applyFill="1" applyBorder="1"/>
    <xf numFmtId="164" fontId="21" fillId="3" borderId="0" xfId="0" applyNumberFormat="1" applyFont="1" applyFill="1" applyBorder="1"/>
    <xf numFmtId="164" fontId="24" fillId="3" borderId="9" xfId="0" applyNumberFormat="1" applyFont="1" applyFill="1" applyBorder="1"/>
    <xf numFmtId="164" fontId="24" fillId="3" borderId="0" xfId="0" applyNumberFormat="1" applyFont="1" applyFill="1" applyBorder="1"/>
    <xf numFmtId="0" fontId="25" fillId="3" borderId="0" xfId="0" applyFont="1" applyFill="1" applyBorder="1" applyAlignment="1">
      <alignment horizontal="center"/>
    </xf>
    <xf numFmtId="42" fontId="26" fillId="2" borderId="0" xfId="3" applyNumberFormat="1" applyFont="1" applyFill="1" applyBorder="1" applyAlignment="1">
      <alignment horizontal="center"/>
    </xf>
    <xf numFmtId="0" fontId="27" fillId="2" borderId="4" xfId="0" applyFont="1" applyFill="1" applyBorder="1"/>
    <xf numFmtId="166" fontId="24" fillId="3" borderId="9" xfId="3" applyNumberFormat="1" applyFont="1" applyFill="1" applyBorder="1"/>
    <xf numFmtId="166" fontId="7" fillId="3" borderId="9" xfId="3" applyNumberFormat="1" applyFont="1" applyFill="1" applyBorder="1"/>
    <xf numFmtId="0" fontId="28" fillId="0" borderId="0" xfId="0" applyFont="1"/>
    <xf numFmtId="0" fontId="0" fillId="0" borderId="12" xfId="0" applyFill="1" applyBorder="1" applyAlignment="1"/>
    <xf numFmtId="44" fontId="0" fillId="0" borderId="12" xfId="0" applyNumberFormat="1" applyFill="1" applyBorder="1" applyAlignment="1"/>
    <xf numFmtId="10" fontId="0" fillId="0" borderId="12" xfId="0" applyNumberFormat="1" applyFill="1" applyBorder="1" applyAlignment="1"/>
    <xf numFmtId="0" fontId="29" fillId="0" borderId="11" xfId="0" applyFont="1" applyFill="1" applyBorder="1" applyAlignment="1">
      <alignment horizontal="center"/>
    </xf>
    <xf numFmtId="0" fontId="2" fillId="0" borderId="0" xfId="4" applyFont="1"/>
    <xf numFmtId="0" fontId="19" fillId="0" borderId="0" xfId="4" applyFont="1"/>
    <xf numFmtId="0" fontId="3" fillId="0" borderId="0" xfId="4" applyFont="1"/>
    <xf numFmtId="0" fontId="3" fillId="0" borderId="0" xfId="4" applyFont="1" applyBorder="1"/>
    <xf numFmtId="0" fontId="2" fillId="0" borderId="0" xfId="4" applyFont="1" applyBorder="1"/>
    <xf numFmtId="0" fontId="2" fillId="2" borderId="1" xfId="4" applyFont="1" applyFill="1" applyBorder="1"/>
    <xf numFmtId="0" fontId="3" fillId="2" borderId="2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/>
    <xf numFmtId="0" fontId="2" fillId="2" borderId="0" xfId="4" applyFont="1" applyFill="1" applyBorder="1"/>
    <xf numFmtId="0" fontId="2" fillId="2" borderId="5" xfId="4" applyFont="1" applyFill="1" applyBorder="1"/>
    <xf numFmtId="0" fontId="2" fillId="2" borderId="6" xfId="4" applyFont="1" applyFill="1" applyBorder="1"/>
    <xf numFmtId="0" fontId="2" fillId="2" borderId="7" xfId="4" applyFont="1" applyFill="1" applyBorder="1"/>
    <xf numFmtId="0" fontId="2" fillId="2" borderId="8" xfId="4" applyFont="1" applyFill="1" applyBorder="1"/>
    <xf numFmtId="0" fontId="2" fillId="3" borderId="1" xfId="4" applyFont="1" applyFill="1" applyBorder="1"/>
    <xf numFmtId="0" fontId="2" fillId="3" borderId="2" xfId="4" applyFont="1" applyFill="1" applyBorder="1"/>
    <xf numFmtId="0" fontId="2" fillId="3" borderId="3" xfId="4" applyFont="1" applyFill="1" applyBorder="1"/>
    <xf numFmtId="0" fontId="2" fillId="3" borderId="4" xfId="4" applyFont="1" applyFill="1" applyBorder="1"/>
    <xf numFmtId="0" fontId="2" fillId="3" borderId="0" xfId="4" applyFont="1" applyFill="1" applyBorder="1"/>
    <xf numFmtId="44" fontId="7" fillId="3" borderId="9" xfId="4" applyNumberFormat="1" applyFont="1" applyFill="1" applyBorder="1"/>
    <xf numFmtId="0" fontId="2" fillId="3" borderId="5" xfId="4" applyFont="1" applyFill="1" applyBorder="1"/>
    <xf numFmtId="44" fontId="6" fillId="3" borderId="0" xfId="4" applyNumberFormat="1" applyFont="1" applyFill="1"/>
    <xf numFmtId="44" fontId="6" fillId="3" borderId="0" xfId="4" applyNumberFormat="1" applyFont="1" applyFill="1" applyBorder="1"/>
    <xf numFmtId="0" fontId="2" fillId="3" borderId="0" xfId="4" applyFont="1" applyFill="1" applyBorder="1" applyAlignment="1"/>
    <xf numFmtId="0" fontId="2" fillId="3" borderId="6" xfId="4" applyFont="1" applyFill="1" applyBorder="1"/>
    <xf numFmtId="0" fontId="2" fillId="3" borderId="7" xfId="4" applyFont="1" applyFill="1" applyBorder="1"/>
    <xf numFmtId="0" fontId="2" fillId="3" borderId="8" xfId="4" applyFont="1" applyFill="1" applyBorder="1"/>
    <xf numFmtId="0" fontId="1" fillId="0" borderId="0" xfId="4"/>
  </cellXfs>
  <cellStyles count="6">
    <cellStyle name="Comma" xfId="1" builtinId="3"/>
    <cellStyle name="Currency" xfId="2" builtinId="4"/>
    <cellStyle name="Normal" xfId="0" builtinId="0"/>
    <cellStyle name="Normal 2" xfId="4"/>
    <cellStyle name="Normal 3" xfId="5"/>
    <cellStyle name="Percent" xfId="3" builtinId="5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>
      <selection activeCell="D12" sqref="D12"/>
    </sheetView>
  </sheetViews>
  <sheetFormatPr defaultRowHeight="12.75" x14ac:dyDescent="0.2"/>
  <cols>
    <col min="1" max="3" width="9.140625" style="60"/>
    <col min="4" max="4" width="42.5703125" style="60" customWidth="1"/>
    <col min="5" max="16384" width="9.140625" style="60"/>
  </cols>
  <sheetData>
    <row r="1" spans="1:29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29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29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29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29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</row>
    <row r="7" spans="1:29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29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</row>
    <row r="9" spans="1:29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</row>
    <row r="10" spans="1:29" ht="59.25" x14ac:dyDescent="0.75">
      <c r="A10" s="58"/>
      <c r="B10" s="58"/>
      <c r="C10" s="58"/>
      <c r="D10" s="61" t="s">
        <v>189</v>
      </c>
      <c r="E10" s="58"/>
      <c r="F10" s="62"/>
      <c r="G10" s="58"/>
      <c r="H10" s="58"/>
      <c r="I10" s="58"/>
      <c r="J10" s="58"/>
      <c r="K10" s="58"/>
      <c r="L10" s="5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spans="1:2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29" ht="23.25" x14ac:dyDescent="0.35">
      <c r="A12" s="58"/>
      <c r="B12" s="58"/>
      <c r="C12" s="58"/>
      <c r="D12" s="63" t="s">
        <v>254</v>
      </c>
      <c r="E12" s="58"/>
      <c r="F12" s="58"/>
      <c r="G12" s="58"/>
      <c r="H12" s="58"/>
      <c r="I12" s="58"/>
      <c r="J12" s="58"/>
      <c r="K12" s="58"/>
      <c r="L12" s="58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</row>
    <row r="13" spans="1:29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</row>
    <row r="14" spans="1:29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</row>
    <row r="15" spans="1:29" ht="15" x14ac:dyDescent="0.2">
      <c r="A15" s="58"/>
      <c r="B15" s="58"/>
      <c r="C15" s="58"/>
      <c r="D15" s="64"/>
      <c r="E15" s="58"/>
      <c r="F15" s="58"/>
      <c r="G15" s="58"/>
      <c r="H15" s="58"/>
      <c r="I15" s="58"/>
      <c r="J15" s="58"/>
      <c r="K15" s="58"/>
      <c r="L15" s="58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</row>
    <row r="16" spans="1:29" ht="15.75" x14ac:dyDescent="0.25">
      <c r="A16" s="58"/>
      <c r="B16" s="58"/>
      <c r="C16" s="58"/>
      <c r="D16" s="65" t="s">
        <v>65</v>
      </c>
      <c r="E16" s="58"/>
      <c r="F16" s="58"/>
      <c r="G16" s="58"/>
      <c r="H16" s="58"/>
      <c r="I16" s="58"/>
      <c r="J16" s="58"/>
      <c r="K16" s="58"/>
      <c r="L16" s="58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</row>
    <row r="17" spans="1:29" ht="15.75" x14ac:dyDescent="0.25">
      <c r="A17" s="58"/>
      <c r="B17" s="58"/>
      <c r="C17" s="58"/>
      <c r="D17" s="66" t="s">
        <v>66</v>
      </c>
      <c r="E17" s="58"/>
      <c r="F17" s="58"/>
      <c r="G17" s="58"/>
      <c r="H17" s="58"/>
      <c r="I17" s="58"/>
      <c r="J17" s="58"/>
      <c r="K17" s="58"/>
      <c r="L17" s="58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</row>
    <row r="18" spans="1:29" ht="15.75" x14ac:dyDescent="0.25">
      <c r="A18" s="58"/>
      <c r="B18" s="58"/>
      <c r="C18" s="58"/>
      <c r="D18" s="67" t="s">
        <v>67</v>
      </c>
      <c r="E18" s="58"/>
      <c r="F18" s="58"/>
      <c r="G18" s="58"/>
      <c r="H18" s="58"/>
      <c r="I18" s="58"/>
      <c r="J18" s="58"/>
      <c r="K18" s="58"/>
      <c r="L18" s="58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</row>
    <row r="19" spans="1:29" ht="15.75" x14ac:dyDescent="0.25">
      <c r="A19" s="58"/>
      <c r="B19" s="58"/>
      <c r="C19" s="58"/>
      <c r="D19" s="68" t="s">
        <v>68</v>
      </c>
      <c r="E19" s="58"/>
      <c r="F19" s="58"/>
      <c r="G19" s="58"/>
      <c r="H19" s="58"/>
      <c r="I19" s="58"/>
      <c r="J19" s="58"/>
      <c r="K19" s="58"/>
      <c r="L19" s="58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ht="15.75" x14ac:dyDescent="0.25">
      <c r="A20" s="58"/>
      <c r="B20" s="58"/>
      <c r="C20" s="58"/>
      <c r="D20" s="69" t="s">
        <v>69</v>
      </c>
      <c r="E20" s="58"/>
      <c r="F20" s="58"/>
      <c r="G20" s="58"/>
      <c r="H20" s="58"/>
      <c r="I20" s="58"/>
      <c r="J20" s="58"/>
      <c r="K20" s="58"/>
      <c r="L20" s="5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</row>
    <row r="21" spans="1:29" ht="15" x14ac:dyDescent="0.2">
      <c r="A21" s="58"/>
      <c r="B21" s="58"/>
      <c r="C21" s="58"/>
      <c r="D21" s="64"/>
      <c r="E21" s="58"/>
      <c r="F21" s="58"/>
      <c r="G21" s="58"/>
      <c r="H21" s="58"/>
      <c r="I21" s="58"/>
      <c r="J21" s="58"/>
      <c r="K21" s="58"/>
      <c r="L21" s="58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 x14ac:dyDescent="0.2">
      <c r="A22" s="58"/>
      <c r="B22" s="58"/>
      <c r="C22" s="58"/>
      <c r="D22" s="116" t="s">
        <v>147</v>
      </c>
      <c r="E22" s="58"/>
      <c r="F22" s="58"/>
      <c r="G22" s="58"/>
      <c r="H22" s="58"/>
      <c r="I22" s="58"/>
      <c r="J22" s="58"/>
      <c r="K22" s="58"/>
      <c r="L22" s="58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</row>
    <row r="23" spans="1:29" x14ac:dyDescent="0.2">
      <c r="A23" s="58"/>
      <c r="B23" s="58"/>
      <c r="C23" s="58"/>
      <c r="D23" s="116" t="s">
        <v>148</v>
      </c>
      <c r="E23" s="58"/>
      <c r="F23" s="58"/>
      <c r="G23" s="58"/>
      <c r="H23" s="58"/>
      <c r="I23" s="58"/>
      <c r="J23" s="58"/>
      <c r="K23" s="58"/>
      <c r="L23" s="58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</row>
    <row r="24" spans="1:29" x14ac:dyDescent="0.2">
      <c r="A24" s="58"/>
      <c r="B24" s="58"/>
      <c r="C24" s="58"/>
      <c r="D24" s="116" t="s">
        <v>183</v>
      </c>
      <c r="E24" s="58"/>
      <c r="F24" s="58"/>
      <c r="G24" s="58"/>
      <c r="H24" s="58"/>
      <c r="I24" s="58"/>
      <c r="J24" s="58"/>
      <c r="K24" s="58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</row>
    <row r="25" spans="1:29" x14ac:dyDescent="0.2">
      <c r="A25" s="58"/>
      <c r="B25" s="58"/>
      <c r="C25" s="58"/>
      <c r="D25" s="121" t="s">
        <v>184</v>
      </c>
      <c r="E25" s="58"/>
      <c r="F25" s="58"/>
      <c r="G25" s="58"/>
      <c r="H25" s="58"/>
      <c r="I25" s="58"/>
      <c r="J25" s="58"/>
      <c r="K25" s="58"/>
      <c r="L25" s="58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</row>
    <row r="26" spans="1:29" x14ac:dyDescent="0.2">
      <c r="A26" s="58"/>
      <c r="B26" s="58"/>
      <c r="C26" s="58"/>
      <c r="D26" s="122" t="s">
        <v>185</v>
      </c>
      <c r="E26" s="58"/>
      <c r="F26" s="58"/>
      <c r="G26" s="58"/>
      <c r="H26" s="58"/>
      <c r="I26" s="58"/>
      <c r="J26" s="58"/>
      <c r="K26" s="58"/>
      <c r="L26" s="58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</row>
    <row r="27" spans="1:29" x14ac:dyDescent="0.2">
      <c r="A27" s="58"/>
      <c r="B27" s="58"/>
      <c r="C27" s="58"/>
      <c r="D27" s="123" t="s">
        <v>186</v>
      </c>
      <c r="E27" s="58"/>
      <c r="F27" s="58"/>
      <c r="G27" s="58"/>
      <c r="H27" s="58"/>
      <c r="I27" s="58"/>
      <c r="J27" s="58"/>
      <c r="K27" s="58"/>
      <c r="L27" s="58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">
      <c r="A28" s="58"/>
      <c r="B28" s="58"/>
      <c r="C28" s="58"/>
      <c r="D28" s="123" t="s">
        <v>187</v>
      </c>
      <c r="E28" s="58"/>
      <c r="F28" s="58"/>
      <c r="G28" s="58"/>
      <c r="H28" s="58"/>
      <c r="I28" s="58"/>
      <c r="J28" s="58"/>
      <c r="K28" s="58"/>
      <c r="L28" s="58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</row>
    <row r="29" spans="1:29" x14ac:dyDescent="0.2">
      <c r="A29" s="58"/>
      <c r="B29" s="58"/>
      <c r="C29" s="58"/>
      <c r="D29" s="124" t="s">
        <v>188</v>
      </c>
      <c r="E29" s="58"/>
      <c r="F29" s="58"/>
      <c r="G29" s="58"/>
      <c r="H29" s="58"/>
      <c r="I29" s="58"/>
      <c r="J29" s="58"/>
      <c r="K29" s="58"/>
      <c r="L29" s="58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</row>
    <row r="30" spans="1:29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</row>
    <row r="32" spans="1:29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</row>
    <row r="33" spans="1:29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</row>
    <row r="34" spans="1:29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</row>
    <row r="35" spans="1:29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</row>
    <row r="37" spans="1:29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</row>
    <row r="38" spans="1:29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</row>
    <row r="39" spans="1:29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29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29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29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29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29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29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29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29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29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1:12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2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2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2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1:12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2" x14ac:dyDescent="0.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</row>
    <row r="59" spans="1:12" x14ac:dyDescent="0.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</row>
    <row r="60" spans="1:12" x14ac:dyDescent="0.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</row>
    <row r="61" spans="1:12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1:12" x14ac:dyDescent="0.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</row>
    <row r="63" spans="1:12" x14ac:dyDescent="0.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</row>
    <row r="64" spans="1:12" x14ac:dyDescent="0.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</row>
    <row r="65" spans="1:12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</row>
    <row r="66" spans="1:12" x14ac:dyDescent="0.2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</row>
    <row r="67" spans="1:12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</row>
    <row r="68" spans="1:12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</row>
    <row r="69" spans="1:12" x14ac:dyDescent="0.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 x14ac:dyDescent="0.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</row>
    <row r="71" spans="1:12" x14ac:dyDescent="0.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</row>
    <row r="72" spans="1:12" x14ac:dyDescent="0.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</row>
    <row r="73" spans="1:12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</row>
    <row r="74" spans="1:12" x14ac:dyDescent="0.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</row>
    <row r="75" spans="1:12" x14ac:dyDescent="0.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</row>
    <row r="76" spans="1:12" x14ac:dyDescent="0.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</row>
    <row r="77" spans="1:12" x14ac:dyDescent="0.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1:12" x14ac:dyDescent="0.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</row>
    <row r="79" spans="1:12" x14ac:dyDescent="0.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 x14ac:dyDescent="0.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</row>
    <row r="81" spans="1:12" x14ac:dyDescent="0.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</row>
    <row r="82" spans="1:12" x14ac:dyDescent="0.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</row>
    <row r="83" spans="1:12" x14ac:dyDescent="0.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</row>
    <row r="84" spans="1:12" x14ac:dyDescent="0.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</row>
    <row r="85" spans="1:12" x14ac:dyDescent="0.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</row>
    <row r="86" spans="1:12" x14ac:dyDescent="0.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</row>
    <row r="87" spans="1:12" x14ac:dyDescent="0.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</row>
    <row r="88" spans="1:12" x14ac:dyDescent="0.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1:12" x14ac:dyDescent="0.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</row>
    <row r="91" spans="1:12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</row>
    <row r="92" spans="1:12" x14ac:dyDescent="0.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</row>
    <row r="93" spans="1:12" x14ac:dyDescent="0.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</row>
    <row r="94" spans="1:12" x14ac:dyDescent="0.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</row>
    <row r="95" spans="1:12" x14ac:dyDescent="0.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</row>
    <row r="96" spans="1:12" x14ac:dyDescent="0.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</row>
    <row r="97" spans="1:12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</row>
    <row r="98" spans="1:12" x14ac:dyDescent="0.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</row>
    <row r="99" spans="1:12" x14ac:dyDescent="0.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</row>
    <row r="100" spans="1:12" x14ac:dyDescent="0.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</row>
    <row r="101" spans="1:12" x14ac:dyDescent="0.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1:12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1:12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</row>
    <row r="104" spans="1:12" x14ac:dyDescent="0.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4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9.85546875" bestFit="1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78</v>
      </c>
      <c r="D7" s="95">
        <v>29000000</v>
      </c>
      <c r="E7" s="11"/>
    </row>
    <row r="8" spans="2:5" s="1" customFormat="1" ht="15" x14ac:dyDescent="0.2">
      <c r="B8" s="9"/>
      <c r="C8" s="10" t="s">
        <v>79</v>
      </c>
      <c r="D8" s="72">
        <v>0.17</v>
      </c>
      <c r="E8" s="11"/>
    </row>
    <row r="9" spans="2:5" s="1" customFormat="1" ht="15" x14ac:dyDescent="0.2">
      <c r="B9" s="9"/>
      <c r="C9" s="10" t="s">
        <v>80</v>
      </c>
      <c r="D9" s="72">
        <v>0.8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81</v>
      </c>
      <c r="D15" s="30">
        <f>D8*D9</f>
        <v>0.13600000000000001</v>
      </c>
      <c r="E15" s="34"/>
    </row>
    <row r="16" spans="2:5" s="1" customFormat="1" ht="15.75" x14ac:dyDescent="0.25">
      <c r="B16" s="18"/>
      <c r="C16" s="19"/>
      <c r="D16" s="96"/>
      <c r="E16" s="34"/>
    </row>
    <row r="17" spans="2:5" s="1" customFormat="1" ht="15.75" x14ac:dyDescent="0.25">
      <c r="B17" s="18"/>
      <c r="C17" s="19" t="s">
        <v>82</v>
      </c>
      <c r="D17" s="125">
        <f>D7*(1+D15)</f>
        <v>32944000.000000004</v>
      </c>
      <c r="E17" s="34"/>
    </row>
    <row r="18" spans="2:5" s="1" customFormat="1" ht="15" customHeight="1" thickBot="1" x14ac:dyDescent="0.25">
      <c r="B18" s="24"/>
      <c r="C18" s="25"/>
      <c r="D18" s="25"/>
      <c r="E18" s="26"/>
    </row>
    <row r="1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7109375" bestFit="1" customWidth="1"/>
    <col min="4" max="4" width="19.5703125" customWidth="1"/>
    <col min="5" max="5" width="3.140625" customWidth="1"/>
    <col min="6" max="6" width="10.140625" customWidth="1"/>
    <col min="7" max="7" width="13.42578125" customWidth="1"/>
    <col min="8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23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138</v>
      </c>
      <c r="D7" s="71">
        <v>2.35</v>
      </c>
      <c r="E7" s="11"/>
    </row>
    <row r="8" spans="2:5" s="1" customFormat="1" ht="15" x14ac:dyDescent="0.2">
      <c r="B8" s="9"/>
      <c r="C8" s="10" t="s">
        <v>194</v>
      </c>
      <c r="D8" s="89">
        <v>18</v>
      </c>
      <c r="E8" s="11"/>
    </row>
    <row r="9" spans="2:5" s="1" customFormat="1" ht="15" x14ac:dyDescent="0.2">
      <c r="B9" s="9"/>
      <c r="C9" s="10" t="s">
        <v>194</v>
      </c>
      <c r="D9" s="89">
        <v>21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20" t="str">
        <f>"Stock price at PE of "&amp;D8</f>
        <v>Stock price at PE of 18</v>
      </c>
      <c r="D15" s="28">
        <f>D8*D7</f>
        <v>42.300000000000004</v>
      </c>
      <c r="E15" s="21"/>
    </row>
    <row r="16" spans="2:5" s="1" customFormat="1" ht="15.75" x14ac:dyDescent="0.25">
      <c r="B16" s="18"/>
      <c r="C16" s="20" t="str">
        <f>"Stock price at PE of "&amp;D9</f>
        <v>Stock price at PE of 21</v>
      </c>
      <c r="D16" s="28">
        <f>D9*D7</f>
        <v>49.35</v>
      </c>
      <c r="E16" s="21"/>
    </row>
    <row r="17" spans="2:5" s="1" customFormat="1" ht="15" customHeight="1" thickBot="1" x14ac:dyDescent="0.25">
      <c r="B17" s="24"/>
      <c r="C17" s="25"/>
      <c r="D17" s="25"/>
      <c r="E17" s="26"/>
    </row>
    <row r="18" spans="2:5" s="1" customFormat="1" ht="15" x14ac:dyDescent="0.2"/>
    <row r="19" spans="2:5" s="1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"/>
  <dimension ref="B1:E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6.5703125" bestFit="1" customWidth="1"/>
    <col min="4" max="4" width="19.5703125" customWidth="1"/>
    <col min="5" max="5" width="3.140625" customWidth="1"/>
    <col min="6" max="6" width="13.42578125" customWidth="1"/>
    <col min="7" max="7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192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2.9</v>
      </c>
      <c r="E7" s="11"/>
    </row>
    <row r="8" spans="2:5" s="1" customFormat="1" ht="15" x14ac:dyDescent="0.2">
      <c r="B8" s="9"/>
      <c r="C8" s="10" t="s">
        <v>5</v>
      </c>
      <c r="D8" s="77">
        <v>0.06</v>
      </c>
      <c r="E8" s="11"/>
    </row>
    <row r="9" spans="2:5" s="1" customFormat="1" ht="15" x14ac:dyDescent="0.2">
      <c r="B9" s="9"/>
      <c r="C9" s="10"/>
      <c r="D9" s="77"/>
      <c r="E9" s="11"/>
    </row>
    <row r="10" spans="2:5" s="1" customFormat="1" ht="15" x14ac:dyDescent="0.2">
      <c r="B10" s="9"/>
      <c r="C10" s="10" t="s">
        <v>18</v>
      </c>
      <c r="D10" s="73">
        <v>0.15</v>
      </c>
      <c r="E10" s="11"/>
    </row>
    <row r="11" spans="2:5" s="1" customFormat="1" ht="15" x14ac:dyDescent="0.2">
      <c r="B11" s="9"/>
      <c r="C11" s="10" t="s">
        <v>19</v>
      </c>
      <c r="D11" s="73">
        <v>0.13</v>
      </c>
      <c r="E11" s="11"/>
    </row>
    <row r="12" spans="2:5" s="1" customFormat="1" ht="15" x14ac:dyDescent="0.2">
      <c r="B12" s="9"/>
      <c r="C12" s="10" t="s">
        <v>22</v>
      </c>
      <c r="D12" s="73">
        <v>0.11</v>
      </c>
      <c r="E12" s="11"/>
    </row>
    <row r="13" spans="2:5" s="1" customFormat="1" ht="15" x14ac:dyDescent="0.2">
      <c r="B13" s="9"/>
      <c r="C13" s="10"/>
      <c r="D13" s="74"/>
      <c r="E13" s="11"/>
    </row>
    <row r="14" spans="2:5" s="1" customFormat="1" ht="15" x14ac:dyDescent="0.2">
      <c r="B14" s="9"/>
      <c r="C14" s="10" t="s">
        <v>20</v>
      </c>
      <c r="D14" s="74">
        <v>3</v>
      </c>
      <c r="E14" s="11"/>
    </row>
    <row r="15" spans="2:5" s="1" customFormat="1" ht="15" x14ac:dyDescent="0.2">
      <c r="B15" s="9"/>
      <c r="C15" s="10" t="s">
        <v>21</v>
      </c>
      <c r="D15" s="74">
        <v>3</v>
      </c>
      <c r="E15" s="11"/>
    </row>
    <row r="16" spans="2:5" s="1" customFormat="1" ht="15" customHeight="1" thickBot="1" x14ac:dyDescent="0.25">
      <c r="B16" s="12"/>
      <c r="C16" s="13"/>
      <c r="D16" s="13"/>
      <c r="E16" s="14"/>
    </row>
    <row r="17" spans="2:5" s="1" customFormat="1" ht="15" x14ac:dyDescent="0.2"/>
    <row r="18" spans="2:5" s="1" customFormat="1" ht="15" x14ac:dyDescent="0.2">
      <c r="C18" s="2" t="s">
        <v>2</v>
      </c>
    </row>
    <row r="19" spans="2:5" s="1" customFormat="1" ht="15.75" thickBot="1" x14ac:dyDescent="0.25">
      <c r="C19" s="3"/>
    </row>
    <row r="20" spans="2:5" s="1" customFormat="1" ht="15" x14ac:dyDescent="0.2">
      <c r="B20" s="15"/>
      <c r="C20" s="16"/>
      <c r="D20" s="16"/>
      <c r="E20" s="17"/>
    </row>
    <row r="21" spans="2:5" s="1" customFormat="1" ht="15" x14ac:dyDescent="0.2">
      <c r="B21" s="18"/>
      <c r="C21" s="19" t="s">
        <v>156</v>
      </c>
      <c r="D21" s="35">
        <f>(D7*(1+D8)^(D14+D15+1))/(D12-D8)</f>
        <v>87.210555021498919</v>
      </c>
      <c r="E21" s="21"/>
    </row>
    <row r="22" spans="2:5" s="1" customFormat="1" ht="15" x14ac:dyDescent="0.2">
      <c r="B22" s="18"/>
      <c r="C22" s="19" t="s">
        <v>157</v>
      </c>
      <c r="D22" s="118">
        <f>D7*(1+D8)^(D14+1)/(1+D11)^(D14-2)+D7*(1+D8)^(D14+2)/(1+D11)^(D14-1)+D7*(1+D8)^(D14+3)/(1+D11)^(D14)+D21/(1+D11)^D14</f>
        <v>69.571556717136531</v>
      </c>
      <c r="E22" s="21"/>
    </row>
    <row r="23" spans="2:5" s="1" customFormat="1" ht="15" x14ac:dyDescent="0.2">
      <c r="B23" s="18"/>
      <c r="C23" s="20" t="s">
        <v>158</v>
      </c>
      <c r="D23" s="118">
        <f>D7*(1+D8)/(1+D10)+D7*(1+D8)^(D14-1)/(1+D10)^(D14-1)+D7*(1+D8)^D14/(1+D10)^D14+D22/(1+D10)^D14</f>
        <v>53.152345930557445</v>
      </c>
      <c r="E23" s="21"/>
    </row>
    <row r="24" spans="2:5" s="1" customFormat="1" ht="15.75" x14ac:dyDescent="0.25">
      <c r="B24" s="18"/>
      <c r="C24" s="20"/>
      <c r="D24" s="27"/>
      <c r="E24" s="21"/>
    </row>
    <row r="25" spans="2:5" s="1" customFormat="1" ht="15.75" x14ac:dyDescent="0.25">
      <c r="B25" s="18"/>
      <c r="C25" s="20" t="s">
        <v>155</v>
      </c>
      <c r="D25" s="23">
        <f>D23</f>
        <v>53.152345930557445</v>
      </c>
      <c r="E25" s="21"/>
    </row>
    <row r="26" spans="2:5" s="1" customFormat="1" ht="15" customHeight="1" thickBot="1" x14ac:dyDescent="0.25">
      <c r="B26" s="24"/>
      <c r="C26" s="25"/>
      <c r="D26" s="25"/>
      <c r="E26" s="26"/>
    </row>
    <row r="27" spans="2:5" s="1" customFormat="1" ht="15" x14ac:dyDescent="0.2"/>
    <row r="28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3.140625" bestFit="1" customWidth="1"/>
    <col min="4" max="4" width="16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27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25</v>
      </c>
      <c r="D7" s="78">
        <v>17.5</v>
      </c>
      <c r="E7" s="11"/>
    </row>
    <row r="8" spans="2:5" s="1" customFormat="1" ht="15" x14ac:dyDescent="0.2">
      <c r="B8" s="9"/>
      <c r="C8" s="10" t="s">
        <v>5</v>
      </c>
      <c r="D8" s="81">
        <v>5.5E-2</v>
      </c>
      <c r="E8" s="11"/>
    </row>
    <row r="9" spans="2:5" s="1" customFormat="1" ht="15" x14ac:dyDescent="0.2">
      <c r="B9" s="9"/>
      <c r="C9" s="10" t="s">
        <v>6</v>
      </c>
      <c r="D9" s="73">
        <v>0.12</v>
      </c>
      <c r="E9" s="11"/>
    </row>
    <row r="10" spans="2:5" s="1" customFormat="1" ht="15" x14ac:dyDescent="0.2">
      <c r="B10" s="9"/>
      <c r="C10" s="10" t="s">
        <v>24</v>
      </c>
      <c r="D10" s="79">
        <v>10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</row>
    <row r="14" spans="2:5" s="1" customFormat="1" ht="15.75" thickBot="1" x14ac:dyDescent="0.25">
      <c r="C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20" t="str">
        <f>"Share price at Year "&amp;D10-1</f>
        <v>Share price at Year 9</v>
      </c>
      <c r="D16" s="117">
        <f>D7/(D9-D8)</f>
        <v>269.23076923076923</v>
      </c>
      <c r="E16" s="21"/>
    </row>
    <row r="17" spans="2:5" s="1" customFormat="1" ht="15" x14ac:dyDescent="0.2">
      <c r="B17" s="18"/>
      <c r="C17" s="20"/>
      <c r="D17" s="20"/>
      <c r="E17" s="21"/>
    </row>
    <row r="18" spans="2:5" s="1" customFormat="1" ht="15.75" x14ac:dyDescent="0.25">
      <c r="B18" s="18"/>
      <c r="C18" s="19" t="s">
        <v>155</v>
      </c>
      <c r="D18" s="28">
        <f>D16/(1+D9)^(D10-1)</f>
        <v>97.087314418117572</v>
      </c>
      <c r="E18" s="34"/>
    </row>
    <row r="19" spans="2:5" s="1" customFormat="1" ht="15" customHeight="1" thickBot="1" x14ac:dyDescent="0.25">
      <c r="B19" s="24"/>
      <c r="C19" s="25"/>
      <c r="D19" s="25"/>
      <c r="E19" s="26"/>
    </row>
    <row r="20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1"/>
  <dimension ref="B1:E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140625" bestFit="1" customWidth="1"/>
    <col min="4" max="4" width="16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32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26</v>
      </c>
      <c r="D7" s="78">
        <v>9</v>
      </c>
      <c r="E7" s="11"/>
    </row>
    <row r="8" spans="2:5" s="1" customFormat="1" ht="15" x14ac:dyDescent="0.2">
      <c r="B8" s="9"/>
      <c r="C8" s="10" t="s">
        <v>5</v>
      </c>
      <c r="D8" s="80">
        <v>4</v>
      </c>
      <c r="E8" s="11"/>
    </row>
    <row r="9" spans="2:5" s="1" customFormat="1" ht="15" x14ac:dyDescent="0.2">
      <c r="B9" s="9"/>
      <c r="C9" s="10" t="s">
        <v>6</v>
      </c>
      <c r="D9" s="73">
        <v>0.12</v>
      </c>
      <c r="E9" s="11"/>
    </row>
    <row r="10" spans="2:5" s="1" customFormat="1" ht="15" x14ac:dyDescent="0.2">
      <c r="B10" s="9"/>
      <c r="C10" s="10" t="s">
        <v>75</v>
      </c>
      <c r="D10" s="89">
        <v>5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</row>
    <row r="14" spans="2:5" s="1" customFormat="1" ht="15.75" thickBot="1" x14ac:dyDescent="0.25">
      <c r="C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87" t="s">
        <v>74</v>
      </c>
      <c r="D16" s="88" t="s">
        <v>26</v>
      </c>
      <c r="E16" s="21"/>
    </row>
    <row r="17" spans="2:5" s="1" customFormat="1" ht="15" x14ac:dyDescent="0.2">
      <c r="B17" s="18"/>
      <c r="C17" s="87">
        <v>1</v>
      </c>
      <c r="D17" s="91">
        <f>D7+D8</f>
        <v>13</v>
      </c>
      <c r="E17" s="21"/>
    </row>
    <row r="18" spans="2:5" s="1" customFormat="1" ht="15" x14ac:dyDescent="0.2">
      <c r="B18" s="18"/>
      <c r="C18" s="87">
        <v>2</v>
      </c>
      <c r="D18" s="90">
        <f>IF(C18&lt;=D10,D17+D8,0)</f>
        <v>17</v>
      </c>
      <c r="E18" s="21"/>
    </row>
    <row r="19" spans="2:5" s="1" customFormat="1" ht="15" x14ac:dyDescent="0.2">
      <c r="B19" s="18"/>
      <c r="C19" s="87">
        <v>3</v>
      </c>
      <c r="D19" s="90">
        <f>IF(C19&lt;=$D$10,D18+$D$8,0)</f>
        <v>21</v>
      </c>
      <c r="E19" s="21"/>
    </row>
    <row r="20" spans="2:5" s="1" customFormat="1" ht="15" x14ac:dyDescent="0.2">
      <c r="B20" s="18"/>
      <c r="C20" s="87">
        <v>4</v>
      </c>
      <c r="D20" s="90">
        <f t="shared" ref="D20:D26" si="0">IF(C20&lt;=$D$10,D19+$D$8,0)</f>
        <v>25</v>
      </c>
      <c r="E20" s="21"/>
    </row>
    <row r="21" spans="2:5" s="1" customFormat="1" ht="15" x14ac:dyDescent="0.2">
      <c r="B21" s="18"/>
      <c r="C21" s="87">
        <v>5</v>
      </c>
      <c r="D21" s="90">
        <f t="shared" si="0"/>
        <v>29</v>
      </c>
      <c r="E21" s="21"/>
    </row>
    <row r="22" spans="2:5" s="1" customFormat="1" ht="15" x14ac:dyDescent="0.2">
      <c r="B22" s="18"/>
      <c r="C22" s="87">
        <v>6</v>
      </c>
      <c r="D22" s="90">
        <f t="shared" si="0"/>
        <v>0</v>
      </c>
      <c r="E22" s="21"/>
    </row>
    <row r="23" spans="2:5" s="1" customFormat="1" ht="15" x14ac:dyDescent="0.2">
      <c r="B23" s="18"/>
      <c r="C23" s="87">
        <v>7</v>
      </c>
      <c r="D23" s="90">
        <f t="shared" si="0"/>
        <v>0</v>
      </c>
      <c r="E23" s="21"/>
    </row>
    <row r="24" spans="2:5" s="1" customFormat="1" ht="15" x14ac:dyDescent="0.2">
      <c r="B24" s="18"/>
      <c r="C24" s="87">
        <v>8</v>
      </c>
      <c r="D24" s="90">
        <f t="shared" si="0"/>
        <v>0</v>
      </c>
      <c r="E24" s="21"/>
    </row>
    <row r="25" spans="2:5" s="1" customFormat="1" ht="15" x14ac:dyDescent="0.2">
      <c r="B25" s="18"/>
      <c r="C25" s="87">
        <v>9</v>
      </c>
      <c r="D25" s="90">
        <f t="shared" si="0"/>
        <v>0</v>
      </c>
      <c r="E25" s="21"/>
    </row>
    <row r="26" spans="2:5" s="1" customFormat="1" ht="15" x14ac:dyDescent="0.2">
      <c r="B26" s="18"/>
      <c r="C26" s="87">
        <v>10</v>
      </c>
      <c r="D26" s="90">
        <f t="shared" si="0"/>
        <v>0</v>
      </c>
      <c r="E26" s="21"/>
    </row>
    <row r="27" spans="2:5" s="1" customFormat="1" ht="15" x14ac:dyDescent="0.2">
      <c r="B27" s="18"/>
      <c r="C27" s="20"/>
      <c r="D27" s="20"/>
      <c r="E27" s="21"/>
    </row>
    <row r="28" spans="2:5" s="1" customFormat="1" ht="15.75" x14ac:dyDescent="0.25">
      <c r="B28" s="18"/>
      <c r="C28" s="19" t="s">
        <v>16</v>
      </c>
      <c r="D28" s="28">
        <f>NPV(D9,D17:D26)</f>
        <v>72.450154755551992</v>
      </c>
      <c r="E28" s="34"/>
    </row>
    <row r="29" spans="2:5" s="1" customFormat="1" ht="15" customHeight="1" thickBot="1" x14ac:dyDescent="0.25">
      <c r="B29" s="24"/>
      <c r="C29" s="25"/>
      <c r="D29" s="25"/>
      <c r="E29" s="26"/>
    </row>
    <row r="30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11"/>
  <dimension ref="B1:E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6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33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28</v>
      </c>
      <c r="D7" s="78">
        <v>13</v>
      </c>
      <c r="E7" s="11"/>
    </row>
    <row r="8" spans="2:5" s="1" customFormat="1" ht="15" x14ac:dyDescent="0.2">
      <c r="B8" s="9"/>
      <c r="C8" s="10" t="s">
        <v>29</v>
      </c>
      <c r="D8" s="80">
        <v>8</v>
      </c>
      <c r="E8" s="11"/>
    </row>
    <row r="9" spans="2:5" s="1" customFormat="1" ht="15" x14ac:dyDescent="0.2">
      <c r="B9" s="9"/>
      <c r="C9" s="10" t="s">
        <v>30</v>
      </c>
      <c r="D9" s="80">
        <v>6.5</v>
      </c>
      <c r="E9" s="11"/>
    </row>
    <row r="10" spans="2:5" s="1" customFormat="1" ht="15" x14ac:dyDescent="0.2">
      <c r="B10" s="9"/>
      <c r="C10" s="10" t="s">
        <v>31</v>
      </c>
      <c r="D10" s="80">
        <v>2.4</v>
      </c>
      <c r="E10" s="11"/>
    </row>
    <row r="11" spans="2:5" s="1" customFormat="1" ht="15" x14ac:dyDescent="0.2">
      <c r="B11" s="9"/>
      <c r="C11" s="10" t="s">
        <v>5</v>
      </c>
      <c r="D11" s="77">
        <v>4.4999999999999998E-2</v>
      </c>
      <c r="E11" s="11"/>
    </row>
    <row r="12" spans="2:5" s="1" customFormat="1" ht="15" x14ac:dyDescent="0.2">
      <c r="B12" s="9"/>
      <c r="C12" s="10" t="s">
        <v>6</v>
      </c>
      <c r="D12" s="77">
        <v>0.11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" x14ac:dyDescent="0.2">
      <c r="B18" s="18"/>
      <c r="C18" s="20" t="s">
        <v>159</v>
      </c>
      <c r="D18" s="117">
        <f>(D10*(1+D11))/(D12-D11)</f>
        <v>38.584615384615375</v>
      </c>
      <c r="E18" s="21"/>
    </row>
    <row r="19" spans="2:5" s="1" customFormat="1" ht="15" x14ac:dyDescent="0.2">
      <c r="B19" s="18"/>
      <c r="C19" s="20"/>
      <c r="D19" s="20"/>
      <c r="E19" s="21"/>
    </row>
    <row r="20" spans="2:5" s="1" customFormat="1" ht="15.75" x14ac:dyDescent="0.25">
      <c r="B20" s="18"/>
      <c r="C20" s="19" t="s">
        <v>155</v>
      </c>
      <c r="D20" s="28">
        <f>D7/(1+D12)+D8/(1+D12)^2+D9/(1+D12)^3+(D10+D18)/(1+D12)^4</f>
        <v>49.955270773386168</v>
      </c>
      <c r="E20" s="34"/>
    </row>
    <row r="21" spans="2:5" s="1" customFormat="1" ht="15" customHeight="1" thickBot="1" x14ac:dyDescent="0.25">
      <c r="B21" s="24"/>
      <c r="C21" s="25"/>
      <c r="D21" s="25"/>
      <c r="E21" s="26"/>
    </row>
    <row r="22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12"/>
  <dimension ref="B1:E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6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37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160</v>
      </c>
      <c r="D7" s="72">
        <v>0.25</v>
      </c>
      <c r="E7" s="11"/>
    </row>
    <row r="8" spans="2:5" s="1" customFormat="1" ht="15" x14ac:dyDescent="0.2">
      <c r="B8" s="9"/>
      <c r="C8" s="10" t="s">
        <v>161</v>
      </c>
      <c r="D8" s="73">
        <v>0.05</v>
      </c>
      <c r="E8" s="11"/>
    </row>
    <row r="9" spans="2:5" s="1" customFormat="1" ht="15" x14ac:dyDescent="0.2">
      <c r="B9" s="9"/>
      <c r="C9" s="10" t="s">
        <v>6</v>
      </c>
      <c r="D9" s="72">
        <v>0.12</v>
      </c>
      <c r="E9" s="11"/>
    </row>
    <row r="10" spans="2:5" s="1" customFormat="1" ht="15" x14ac:dyDescent="0.2">
      <c r="B10" s="9"/>
      <c r="C10" s="10" t="s">
        <v>26</v>
      </c>
      <c r="D10" s="78">
        <v>3.1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</row>
    <row r="14" spans="2:5" s="1" customFormat="1" ht="15.75" thickBot="1" x14ac:dyDescent="0.25">
      <c r="C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20" t="s">
        <v>77</v>
      </c>
      <c r="D16" s="36">
        <f>D10*(1+D7)^3*(1+D8)/(D9-D8)</f>
        <v>90.820312500000014</v>
      </c>
      <c r="E16" s="21"/>
    </row>
    <row r="17" spans="2:5" s="1" customFormat="1" ht="15" x14ac:dyDescent="0.2">
      <c r="B17" s="18"/>
      <c r="C17" s="20"/>
      <c r="D17" s="20"/>
      <c r="E17" s="21"/>
    </row>
    <row r="18" spans="2:5" s="1" customFormat="1" ht="15.75" x14ac:dyDescent="0.25">
      <c r="B18" s="18"/>
      <c r="C18" s="19" t="s">
        <v>155</v>
      </c>
      <c r="D18" s="28">
        <f>D10*(1+D7)/(1+D9)+D10*(1+D7)^2/(1+D9)^2+D10*(1+D7)^3/(1+D9)^3+D16/(1+D9)^3</f>
        <v>76.274940779883366</v>
      </c>
      <c r="E18" s="34"/>
    </row>
    <row r="19" spans="2:5" s="1" customFormat="1" ht="15" customHeight="1" thickBot="1" x14ac:dyDescent="0.25">
      <c r="B19" s="24"/>
      <c r="C19" s="25"/>
      <c r="D19" s="25"/>
      <c r="E19" s="26"/>
    </row>
    <row r="20" spans="2:5" s="1" customFormat="1" ht="15" x14ac:dyDescent="0.2"/>
    <row r="21" spans="2:5" s="1" customFormat="1" ht="15" x14ac:dyDescent="0.2"/>
    <row r="22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1"/>
  <dimension ref="B1:G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85546875" customWidth="1"/>
    <col min="4" max="4" width="13.140625" customWidth="1"/>
    <col min="5" max="5" width="3.140625" customWidth="1"/>
    <col min="6" max="6" width="3.85546875" customWidth="1"/>
    <col min="7" max="7" width="3.140625" customWidth="1"/>
  </cols>
  <sheetData>
    <row r="1" spans="2:7" s="1" customFormat="1" ht="18" x14ac:dyDescent="0.25">
      <c r="C1" s="86" t="s">
        <v>189</v>
      </c>
    </row>
    <row r="2" spans="2:7" s="1" customFormat="1" ht="15" x14ac:dyDescent="0.2">
      <c r="C2" s="1" t="s">
        <v>38</v>
      </c>
    </row>
    <row r="3" spans="2:7" s="1" customFormat="1" ht="15" x14ac:dyDescent="0.2"/>
    <row r="4" spans="2:7" s="1" customFormat="1" ht="15" x14ac:dyDescent="0.2">
      <c r="C4" s="2" t="s">
        <v>1</v>
      </c>
    </row>
    <row r="5" spans="2:7" s="1" customFormat="1" ht="15.75" thickBot="1" x14ac:dyDescent="0.25">
      <c r="C5" s="3"/>
      <c r="D5" s="4"/>
      <c r="E5" s="4"/>
      <c r="F5" s="4"/>
    </row>
    <row r="6" spans="2:7" s="1" customFormat="1" ht="15" x14ac:dyDescent="0.2">
      <c r="B6" s="5"/>
      <c r="C6" s="6"/>
      <c r="D6" s="7"/>
      <c r="E6" s="8"/>
      <c r="F6" s="39"/>
      <c r="G6" s="39"/>
    </row>
    <row r="7" spans="2:7" s="1" customFormat="1" ht="15" x14ac:dyDescent="0.2">
      <c r="B7" s="9"/>
      <c r="C7" s="10" t="s">
        <v>34</v>
      </c>
      <c r="D7" s="73">
        <v>0.3</v>
      </c>
      <c r="E7" s="44"/>
      <c r="F7" s="41"/>
      <c r="G7" s="39"/>
    </row>
    <row r="8" spans="2:7" s="1" customFormat="1" ht="15" x14ac:dyDescent="0.2">
      <c r="B8" s="9"/>
      <c r="C8" s="10" t="s">
        <v>20</v>
      </c>
      <c r="D8" s="74">
        <v>3</v>
      </c>
      <c r="E8" s="46"/>
      <c r="F8" s="42"/>
      <c r="G8" s="39"/>
    </row>
    <row r="9" spans="2:7" s="1" customFormat="1" ht="15" x14ac:dyDescent="0.2">
      <c r="B9" s="9"/>
      <c r="C9" s="10" t="s">
        <v>35</v>
      </c>
      <c r="D9" s="73">
        <v>0.18</v>
      </c>
      <c r="E9" s="44"/>
      <c r="F9" s="41"/>
      <c r="G9" s="39"/>
    </row>
    <row r="10" spans="2:7" s="1" customFormat="1" ht="15" x14ac:dyDescent="0.2">
      <c r="B10" s="9"/>
      <c r="C10" s="10" t="s">
        <v>21</v>
      </c>
      <c r="D10" s="74">
        <v>1</v>
      </c>
      <c r="E10" s="46"/>
      <c r="F10" s="42"/>
      <c r="G10" s="39"/>
    </row>
    <row r="11" spans="2:7" s="1" customFormat="1" ht="15" x14ac:dyDescent="0.2">
      <c r="B11" s="9"/>
      <c r="C11" s="10" t="s">
        <v>36</v>
      </c>
      <c r="D11" s="73">
        <v>0.08</v>
      </c>
      <c r="E11" s="44"/>
      <c r="F11" s="41"/>
      <c r="G11" s="39"/>
    </row>
    <row r="12" spans="2:7" s="1" customFormat="1" ht="15" x14ac:dyDescent="0.2">
      <c r="B12" s="9"/>
      <c r="C12" s="10" t="s">
        <v>6</v>
      </c>
      <c r="D12" s="73">
        <v>0.11</v>
      </c>
      <c r="E12" s="44"/>
      <c r="F12" s="41"/>
      <c r="G12" s="39"/>
    </row>
    <row r="13" spans="2:7" s="1" customFormat="1" ht="15" x14ac:dyDescent="0.2">
      <c r="B13" s="9"/>
      <c r="C13" s="10" t="s">
        <v>16</v>
      </c>
      <c r="D13" s="71">
        <v>65</v>
      </c>
      <c r="E13" s="43"/>
      <c r="F13" s="40"/>
      <c r="G13" s="39"/>
    </row>
    <row r="14" spans="2:7" s="1" customFormat="1" ht="15" customHeight="1" thickBot="1" x14ac:dyDescent="0.25">
      <c r="B14" s="12"/>
      <c r="C14" s="13"/>
      <c r="D14" s="13"/>
      <c r="E14" s="14"/>
      <c r="F14" s="39"/>
      <c r="G14" s="39"/>
    </row>
    <row r="15" spans="2:7" s="1" customFormat="1" ht="15" x14ac:dyDescent="0.2"/>
    <row r="16" spans="2:7" s="1" customFormat="1" ht="15" x14ac:dyDescent="0.2">
      <c r="C16" s="2" t="s">
        <v>2</v>
      </c>
    </row>
    <row r="17" spans="2:7" s="1" customFormat="1" ht="15.75" thickBot="1" x14ac:dyDescent="0.25">
      <c r="C17" s="3"/>
    </row>
    <row r="18" spans="2:7" s="1" customFormat="1" ht="15" x14ac:dyDescent="0.2">
      <c r="B18" s="15"/>
      <c r="C18" s="16"/>
      <c r="D18" s="16"/>
      <c r="E18" s="16"/>
      <c r="F18" s="16"/>
      <c r="G18" s="17"/>
    </row>
    <row r="19" spans="2:7" s="1" customFormat="1" ht="19.5" x14ac:dyDescent="0.35">
      <c r="B19" s="18"/>
      <c r="C19" s="20" t="s">
        <v>162</v>
      </c>
      <c r="D19" s="38">
        <f>(1+D7)^D8*(1+D9)*(1+D11)/(D12-D11)</f>
        <v>93.328560000000024</v>
      </c>
      <c r="E19" s="38" t="s">
        <v>73</v>
      </c>
      <c r="F19" s="38"/>
      <c r="G19" s="47"/>
    </row>
    <row r="20" spans="2:7" s="1" customFormat="1" ht="15" x14ac:dyDescent="0.2">
      <c r="B20" s="18"/>
      <c r="C20" s="20"/>
      <c r="D20" s="38"/>
      <c r="E20" s="38"/>
      <c r="F20" s="38"/>
      <c r="G20" s="47"/>
    </row>
    <row r="21" spans="2:7" s="1" customFormat="1" ht="19.5" x14ac:dyDescent="0.35">
      <c r="B21" s="18"/>
      <c r="C21" s="20" t="s">
        <v>155</v>
      </c>
      <c r="D21" s="38">
        <f>(1+D7)/(1+D12)+(1+D7)^2/(1+D12)^2+(1+D7)^3/(1+D12)^3+((1+D7)^3*(1+D9)+D19)/(1+D12)^4</f>
        <v>67.335387493653869</v>
      </c>
      <c r="E21" s="38" t="s">
        <v>73</v>
      </c>
      <c r="F21" s="38"/>
      <c r="G21" s="47"/>
    </row>
    <row r="22" spans="2:7" s="1" customFormat="1" ht="15" x14ac:dyDescent="0.2">
      <c r="B22" s="18"/>
      <c r="C22" s="20"/>
      <c r="D22" s="38"/>
      <c r="E22" s="38"/>
      <c r="F22" s="38"/>
      <c r="G22" s="47"/>
    </row>
    <row r="23" spans="2:7" s="1" customFormat="1" ht="15" x14ac:dyDescent="0.2">
      <c r="B23" s="18"/>
      <c r="C23" s="20" t="s">
        <v>163</v>
      </c>
      <c r="D23" s="36">
        <f>D13/D21</f>
        <v>0.96531708540514494</v>
      </c>
      <c r="E23" s="22"/>
      <c r="F23" s="22"/>
      <c r="G23" s="47"/>
    </row>
    <row r="24" spans="2:7" s="1" customFormat="1" ht="15" x14ac:dyDescent="0.2">
      <c r="B24" s="18"/>
      <c r="C24" s="20"/>
      <c r="D24" s="36"/>
      <c r="E24" s="22"/>
      <c r="F24" s="22"/>
      <c r="G24" s="47"/>
    </row>
    <row r="25" spans="2:7" s="1" customFormat="1" ht="15.75" x14ac:dyDescent="0.25">
      <c r="B25" s="18"/>
      <c r="C25" s="20" t="s">
        <v>164</v>
      </c>
      <c r="D25" s="23">
        <f>D23*(1+D7)</f>
        <v>1.2549122110266884</v>
      </c>
      <c r="E25" s="22"/>
      <c r="F25" s="22"/>
      <c r="G25" s="47"/>
    </row>
    <row r="26" spans="2:7" s="1" customFormat="1" ht="15" customHeight="1" thickBot="1" x14ac:dyDescent="0.25">
      <c r="B26" s="24"/>
      <c r="C26" s="25"/>
      <c r="D26" s="25"/>
      <c r="E26" s="25"/>
      <c r="F26" s="25"/>
      <c r="G26" s="26"/>
    </row>
    <row r="27" spans="2:7" s="1" customFormat="1" ht="15" x14ac:dyDescent="0.2"/>
    <row r="28" spans="2: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4"/>
  <dimension ref="B1:E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6.5703125" customWidth="1"/>
    <col min="5" max="5" width="3.140625" customWidth="1"/>
    <col min="6" max="6" width="10.140625" customWidth="1"/>
    <col min="7" max="7" width="13.42578125" customWidth="1"/>
    <col min="8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39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13</v>
      </c>
      <c r="E7" s="11"/>
    </row>
    <row r="8" spans="2:5" s="1" customFormat="1" ht="15" x14ac:dyDescent="0.2">
      <c r="B8" s="9"/>
      <c r="C8" s="10" t="s">
        <v>5</v>
      </c>
      <c r="D8" s="72">
        <v>-0.04</v>
      </c>
      <c r="E8" s="11"/>
    </row>
    <row r="9" spans="2:5" s="1" customFormat="1" ht="15" x14ac:dyDescent="0.2">
      <c r="B9" s="9"/>
      <c r="C9" s="10" t="s">
        <v>6</v>
      </c>
      <c r="D9" s="73">
        <v>0.1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152</v>
      </c>
      <c r="D15" s="28">
        <f>(D7*(1+D8))/(D9-D8)</f>
        <v>89.142857142857139</v>
      </c>
      <c r="E15" s="21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  <row r="18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2"/>
  <dimension ref="B1:E1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41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11</v>
      </c>
      <c r="D7" s="78">
        <v>64.87</v>
      </c>
      <c r="E7" s="11"/>
    </row>
    <row r="8" spans="2:5" s="1" customFormat="1" ht="15" x14ac:dyDescent="0.2">
      <c r="B8" s="9"/>
      <c r="C8" s="10" t="s">
        <v>6</v>
      </c>
      <c r="D8" s="77">
        <v>0.105</v>
      </c>
      <c r="E8" s="11"/>
    </row>
    <row r="9" spans="2:5" s="1" customFormat="1" ht="15" x14ac:dyDescent="0.2">
      <c r="B9" s="9"/>
      <c r="C9" s="10" t="s">
        <v>5</v>
      </c>
      <c r="D9" s="73">
        <v>0.05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163</v>
      </c>
      <c r="D15" s="23">
        <f>(D7*(D8-D9))/(1+D9)</f>
        <v>3.3979523809523808</v>
      </c>
      <c r="E15" s="34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"/>
  <dimension ref="B1:E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6" width="10.140625" customWidth="1"/>
    <col min="7" max="7" width="13.42578125" customWidth="1"/>
    <col min="8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1.95</v>
      </c>
      <c r="E7" s="11"/>
    </row>
    <row r="8" spans="2:5" s="1" customFormat="1" ht="15" x14ac:dyDescent="0.2">
      <c r="B8" s="9"/>
      <c r="C8" s="10" t="s">
        <v>5</v>
      </c>
      <c r="D8" s="77">
        <v>4.4999999999999998E-2</v>
      </c>
      <c r="E8" s="11"/>
    </row>
    <row r="9" spans="2:5" s="1" customFormat="1" ht="15" x14ac:dyDescent="0.2">
      <c r="B9" s="9"/>
      <c r="C9" s="10" t="s">
        <v>6</v>
      </c>
      <c r="D9" s="77">
        <v>0.11</v>
      </c>
      <c r="E9" s="11"/>
    </row>
    <row r="10" spans="2:5" s="1" customFormat="1" ht="15" x14ac:dyDescent="0.2">
      <c r="B10" s="9"/>
      <c r="C10" s="10" t="s">
        <v>193</v>
      </c>
      <c r="D10" s="74">
        <v>0</v>
      </c>
      <c r="E10" s="11"/>
    </row>
    <row r="11" spans="2:5" s="1" customFormat="1" ht="15" x14ac:dyDescent="0.2">
      <c r="B11" s="9"/>
      <c r="C11" s="10" t="s">
        <v>193</v>
      </c>
      <c r="D11" s="74">
        <v>3</v>
      </c>
      <c r="E11" s="11"/>
    </row>
    <row r="12" spans="2:5" s="1" customFormat="1" ht="15" x14ac:dyDescent="0.2">
      <c r="B12" s="9"/>
      <c r="C12" s="10" t="s">
        <v>193</v>
      </c>
      <c r="D12" s="74">
        <v>15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.75" x14ac:dyDescent="0.25">
      <c r="B18" s="18"/>
      <c r="C18" s="19" t="str">
        <f>"Price at Year "&amp;D10</f>
        <v>Price at Year 0</v>
      </c>
      <c r="D18" s="28">
        <f>(D7*(1+D8)^(D10+1))/(D9-D8)</f>
        <v>31.349999999999998</v>
      </c>
      <c r="E18" s="21"/>
    </row>
    <row r="19" spans="2:5" s="1" customFormat="1" ht="15.75" x14ac:dyDescent="0.25">
      <c r="B19" s="18"/>
      <c r="C19" s="19" t="str">
        <f t="shared" ref="C19:C20" si="0">"Price at Year "&amp;D11</f>
        <v>Price at Year 3</v>
      </c>
      <c r="D19" s="28">
        <f>(D7*(1+D8)^(D11+1))/(D9-D8)</f>
        <v>35.775558018749983</v>
      </c>
      <c r="E19" s="21"/>
    </row>
    <row r="20" spans="2:5" s="1" customFormat="1" ht="15.75" x14ac:dyDescent="0.25">
      <c r="B20" s="18"/>
      <c r="C20" s="19" t="str">
        <f t="shared" si="0"/>
        <v>Price at Year 15</v>
      </c>
      <c r="D20" s="28">
        <f>(D7*(1+D8)^(D12+1))/(D9-D8)</f>
        <v>60.671104590907582</v>
      </c>
      <c r="E20" s="21"/>
    </row>
    <row r="21" spans="2:5" s="1" customFormat="1" ht="15" customHeight="1" thickBot="1" x14ac:dyDescent="0.25">
      <c r="B21" s="24"/>
      <c r="C21" s="25"/>
      <c r="D21" s="25"/>
      <c r="E21" s="26"/>
    </row>
    <row r="22" spans="2:5" s="1" customFormat="1" ht="15" x14ac:dyDescent="0.2"/>
    <row r="23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"/>
  <dimension ref="B1:E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" bestFit="1" customWidth="1"/>
    <col min="4" max="4" width="16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46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14</v>
      </c>
      <c r="D7" s="78">
        <v>5</v>
      </c>
      <c r="E7" s="11"/>
    </row>
    <row r="8" spans="2:5" s="1" customFormat="1" ht="15" x14ac:dyDescent="0.2">
      <c r="B8" s="9"/>
      <c r="C8" s="10" t="s">
        <v>6</v>
      </c>
      <c r="D8" s="77">
        <v>4.7E-2</v>
      </c>
      <c r="E8" s="11"/>
    </row>
    <row r="9" spans="2:5" s="1" customFormat="1" ht="15" x14ac:dyDescent="0.2">
      <c r="B9" s="9"/>
      <c r="C9" s="10" t="s">
        <v>40</v>
      </c>
      <c r="D9" s="79">
        <v>5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" x14ac:dyDescent="0.2">
      <c r="B15" s="18"/>
      <c r="C15" s="20" t="s">
        <v>165</v>
      </c>
      <c r="D15" s="117">
        <f>D7/D8</f>
        <v>106.38297872340425</v>
      </c>
      <c r="E15" s="21"/>
    </row>
    <row r="16" spans="2:5" s="1" customFormat="1" ht="15" x14ac:dyDescent="0.2">
      <c r="B16" s="18"/>
      <c r="C16" s="20"/>
      <c r="D16" s="20"/>
      <c r="E16" s="21"/>
    </row>
    <row r="17" spans="2:5" s="1" customFormat="1" ht="15.75" x14ac:dyDescent="0.25">
      <c r="B17" s="18"/>
      <c r="C17" s="19" t="s">
        <v>155</v>
      </c>
      <c r="D17" s="28">
        <f>D15/(1+D8)^(D9-1)</f>
        <v>88.528971688379627</v>
      </c>
      <c r="E17" s="34"/>
    </row>
    <row r="18" spans="2:5" s="1" customFormat="1" ht="15" customHeight="1" thickBot="1" x14ac:dyDescent="0.25">
      <c r="B18" s="24"/>
      <c r="C18" s="25"/>
      <c r="D18" s="25"/>
      <c r="E18" s="26"/>
    </row>
    <row r="19" spans="2:5" s="1" customFormat="1" ht="15" x14ac:dyDescent="0.2"/>
    <row r="20" spans="2:5" s="1" customFormat="1" ht="15" x14ac:dyDescent="0.2"/>
    <row r="21" spans="2:5" s="1" customFormat="1" ht="15" x14ac:dyDescent="0.2"/>
    <row r="22" spans="2:5" s="1" customFormat="1" ht="15" x14ac:dyDescent="0.2"/>
    <row r="23" spans="2:5" s="1" customFormat="1" ht="15" x14ac:dyDescent="0.2"/>
    <row r="24" spans="2:5" s="1" customFormat="1" ht="15" x14ac:dyDescent="0.2"/>
    <row r="25" spans="2:5" s="1" customFormat="1" ht="15" x14ac:dyDescent="0.2"/>
    <row r="26" spans="2:5" s="1" customFormat="1" ht="15" x14ac:dyDescent="0.2"/>
    <row r="27" spans="2:5" s="1" customFormat="1" ht="15" x14ac:dyDescent="0.2"/>
    <row r="28" spans="2:5" s="1" customFormat="1" ht="15" x14ac:dyDescent="0.2"/>
    <row r="2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1"/>
  <dimension ref="B1:E2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85546875" bestFit="1" customWidth="1"/>
    <col min="4" max="4" width="16.85546875" bestFit="1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60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42</v>
      </c>
      <c r="D7" s="81">
        <v>2.1000000000000001E-2</v>
      </c>
      <c r="E7" s="11"/>
    </row>
    <row r="8" spans="2:5" s="1" customFormat="1" ht="15" x14ac:dyDescent="0.2">
      <c r="B8" s="9"/>
      <c r="C8" s="10" t="s">
        <v>169</v>
      </c>
      <c r="D8" s="78">
        <v>27.82</v>
      </c>
      <c r="E8" s="11"/>
    </row>
    <row r="9" spans="2:5" s="1" customFormat="1" ht="15" x14ac:dyDescent="0.2">
      <c r="B9" s="9"/>
      <c r="C9" s="10" t="s">
        <v>43</v>
      </c>
      <c r="D9" s="92">
        <v>-0.13</v>
      </c>
      <c r="E9" s="11"/>
    </row>
    <row r="10" spans="2:5" s="1" customFormat="1" ht="15" x14ac:dyDescent="0.2">
      <c r="B10" s="9"/>
      <c r="C10" s="10" t="s">
        <v>44</v>
      </c>
      <c r="D10" s="79">
        <v>23</v>
      </c>
      <c r="E10" s="11"/>
    </row>
    <row r="11" spans="2:5" s="1" customFormat="1" ht="15" x14ac:dyDescent="0.2">
      <c r="B11" s="9"/>
      <c r="C11" s="10" t="s">
        <v>45</v>
      </c>
      <c r="D11" s="79">
        <v>30000000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" x14ac:dyDescent="0.2">
      <c r="B17" s="18"/>
      <c r="C17" s="19" t="s">
        <v>26</v>
      </c>
      <c r="D17" s="35">
        <f>D7*D8</f>
        <v>0.58422000000000007</v>
      </c>
      <c r="E17" s="34"/>
    </row>
    <row r="18" spans="2:5" s="1" customFormat="1" ht="15" x14ac:dyDescent="0.2">
      <c r="B18" s="18"/>
      <c r="C18" s="19"/>
      <c r="D18" s="35"/>
      <c r="E18" s="34"/>
    </row>
    <row r="19" spans="2:5" s="1" customFormat="1" ht="15.75" x14ac:dyDescent="0.25">
      <c r="B19" s="18"/>
      <c r="C19" s="19" t="s">
        <v>166</v>
      </c>
      <c r="D19" s="28">
        <f>D8-D9</f>
        <v>27.95</v>
      </c>
      <c r="E19" s="34"/>
    </row>
    <row r="20" spans="2:5" s="1" customFormat="1" ht="15" x14ac:dyDescent="0.2">
      <c r="B20" s="18"/>
      <c r="C20" s="19"/>
      <c r="D20" s="35"/>
      <c r="E20" s="34"/>
    </row>
    <row r="21" spans="2:5" s="1" customFormat="1" ht="15" x14ac:dyDescent="0.2">
      <c r="B21" s="18"/>
      <c r="C21" s="19" t="s">
        <v>167</v>
      </c>
      <c r="D21" s="119">
        <f>D8/D10</f>
        <v>1.2095652173913043</v>
      </c>
      <c r="E21" s="34"/>
    </row>
    <row r="22" spans="2:5" s="1" customFormat="1" ht="15" x14ac:dyDescent="0.2">
      <c r="B22" s="18"/>
      <c r="C22" s="19"/>
      <c r="D22" s="35"/>
      <c r="E22" s="34"/>
    </row>
    <row r="23" spans="2:5" s="1" customFormat="1" ht="15.75" x14ac:dyDescent="0.25">
      <c r="B23" s="18"/>
      <c r="C23" s="19" t="s">
        <v>168</v>
      </c>
      <c r="D23" s="48">
        <f>D21*D11</f>
        <v>36286956.521739125</v>
      </c>
      <c r="E23" s="34"/>
    </row>
    <row r="24" spans="2:5" s="1" customFormat="1" ht="15" customHeight="1" thickBot="1" x14ac:dyDescent="0.25">
      <c r="B24" s="24"/>
      <c r="C24" s="25"/>
      <c r="D24" s="25"/>
      <c r="E24" s="26"/>
    </row>
    <row r="25" spans="2:5" s="1" customFormat="1" ht="15" x14ac:dyDescent="0.2"/>
    <row r="2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3"/>
  <dimension ref="B1:E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7109375" bestFit="1" customWidth="1"/>
    <col min="4" max="4" width="12.5703125" customWidth="1"/>
    <col min="5" max="5" width="3.140625" customWidth="1"/>
  </cols>
  <sheetData>
    <row r="1" spans="2:5" s="1" customFormat="1" ht="18" x14ac:dyDescent="0.25">
      <c r="C1" s="86" t="s">
        <v>189</v>
      </c>
      <c r="D1" s="86"/>
    </row>
    <row r="2" spans="2:5" s="1" customFormat="1" ht="15" x14ac:dyDescent="0.2">
      <c r="C2" s="1" t="s">
        <v>85</v>
      </c>
    </row>
    <row r="3" spans="2:5" s="1" customFormat="1" ht="15" x14ac:dyDescent="0.2"/>
    <row r="4" spans="2:5" s="1" customFormat="1" ht="15" x14ac:dyDescent="0.2">
      <c r="C4" s="2" t="s">
        <v>1</v>
      </c>
      <c r="D4" s="2"/>
    </row>
    <row r="5" spans="2:5" s="1" customFormat="1" ht="15.75" thickBot="1" x14ac:dyDescent="0.25">
      <c r="C5" s="3"/>
      <c r="D5" s="3"/>
    </row>
    <row r="6" spans="2:5" s="1" customFormat="1" ht="15" x14ac:dyDescent="0.2">
      <c r="B6" s="5"/>
      <c r="C6" s="6"/>
      <c r="D6" s="6"/>
      <c r="E6" s="8"/>
    </row>
    <row r="7" spans="2:5" s="1" customFormat="1" ht="15" x14ac:dyDescent="0.2">
      <c r="B7" s="9"/>
      <c r="C7" s="10" t="s">
        <v>87</v>
      </c>
      <c r="D7" s="120">
        <v>0.9</v>
      </c>
      <c r="E7" s="11"/>
    </row>
    <row r="8" spans="2:5" s="1" customFormat="1" ht="15" x14ac:dyDescent="0.2">
      <c r="B8" s="9"/>
      <c r="C8" s="10" t="s">
        <v>88</v>
      </c>
      <c r="D8" s="99">
        <v>12</v>
      </c>
      <c r="E8" s="11"/>
    </row>
    <row r="9" spans="2:5" s="1" customFormat="1" ht="15" x14ac:dyDescent="0.2">
      <c r="B9" s="9"/>
      <c r="C9" s="10" t="s">
        <v>81</v>
      </c>
      <c r="D9" s="81">
        <v>0.01</v>
      </c>
      <c r="E9" s="11"/>
    </row>
    <row r="10" spans="2:5" s="1" customFormat="1" ht="15" x14ac:dyDescent="0.2">
      <c r="B10" s="9"/>
      <c r="C10" s="10" t="s">
        <v>89</v>
      </c>
      <c r="D10" s="72">
        <v>0.1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  <c r="D13" s="2"/>
    </row>
    <row r="14" spans="2:5" s="1" customFormat="1" ht="15.75" thickBot="1" x14ac:dyDescent="0.25">
      <c r="C14" s="3"/>
      <c r="D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19" t="s">
        <v>90</v>
      </c>
      <c r="D16" s="100">
        <f>D10/4</f>
        <v>2.5000000000000001E-2</v>
      </c>
      <c r="E16" s="34"/>
    </row>
    <row r="17" spans="2:5" s="1" customFormat="1" ht="15" x14ac:dyDescent="0.2">
      <c r="B17" s="18"/>
      <c r="C17" s="19"/>
      <c r="D17" s="98"/>
      <c r="E17" s="34"/>
    </row>
    <row r="18" spans="2:5" s="1" customFormat="1" ht="15" x14ac:dyDescent="0.2">
      <c r="B18" s="18"/>
      <c r="C18" s="19" t="s">
        <v>91</v>
      </c>
      <c r="D18" s="98">
        <f>PV(D16,D8,-D7)</f>
        <v>9.2319881383688962</v>
      </c>
      <c r="E18" s="34"/>
    </row>
    <row r="19" spans="2:5" s="1" customFormat="1" ht="15" x14ac:dyDescent="0.2">
      <c r="B19" s="18"/>
      <c r="C19" s="19"/>
      <c r="D19" s="98"/>
      <c r="E19" s="34"/>
    </row>
    <row r="20" spans="2:5" s="1" customFormat="1" ht="15" x14ac:dyDescent="0.2">
      <c r="B20" s="18"/>
      <c r="C20" s="19" t="s">
        <v>92</v>
      </c>
      <c r="D20" s="98">
        <f>((D7*(1+D9))/(D16-D9))</f>
        <v>60.599999999999994</v>
      </c>
      <c r="E20" s="34"/>
    </row>
    <row r="21" spans="2:5" s="1" customFormat="1" ht="15" x14ac:dyDescent="0.2">
      <c r="B21" s="18"/>
      <c r="C21" s="19"/>
      <c r="D21" s="98"/>
      <c r="E21" s="34"/>
    </row>
    <row r="22" spans="2:5" s="1" customFormat="1" ht="15" x14ac:dyDescent="0.2">
      <c r="B22" s="18"/>
      <c r="C22" s="19" t="s">
        <v>182</v>
      </c>
      <c r="D22" s="98">
        <f>D20/((1+D16)^D8)</f>
        <v>45.059486633745685</v>
      </c>
      <c r="E22" s="34"/>
    </row>
    <row r="23" spans="2:5" s="1" customFormat="1" ht="15" x14ac:dyDescent="0.2">
      <c r="B23" s="18"/>
      <c r="C23" s="19"/>
      <c r="D23" s="97"/>
      <c r="E23" s="34"/>
    </row>
    <row r="24" spans="2:5" s="1" customFormat="1" ht="15.75" x14ac:dyDescent="0.25">
      <c r="B24" s="18"/>
      <c r="C24" s="19" t="s">
        <v>84</v>
      </c>
      <c r="D24" s="101">
        <f>D18+D22</f>
        <v>54.291474772114583</v>
      </c>
      <c r="E24" s="34"/>
    </row>
    <row r="25" spans="2:5" s="1" customFormat="1" ht="15" customHeight="1" thickBot="1" x14ac:dyDescent="0.25">
      <c r="B25" s="24"/>
      <c r="C25" s="25"/>
      <c r="D25" s="25"/>
      <c r="E25" s="26"/>
    </row>
    <row r="26" spans="2:5" s="1" customFormat="1" ht="15" x14ac:dyDescent="0.2"/>
    <row r="27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5"/>
  <dimension ref="B1:E2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7109375" bestFit="1" customWidth="1"/>
    <col min="4" max="4" width="12.5703125" customWidth="1"/>
    <col min="5" max="5" width="3.140625" customWidth="1"/>
  </cols>
  <sheetData>
    <row r="1" spans="2:5" s="1" customFormat="1" ht="18" x14ac:dyDescent="0.25">
      <c r="C1" s="86" t="s">
        <v>189</v>
      </c>
      <c r="D1" s="86"/>
    </row>
    <row r="2" spans="2:5" s="1" customFormat="1" ht="15" x14ac:dyDescent="0.2">
      <c r="C2" s="1" t="s">
        <v>86</v>
      </c>
    </row>
    <row r="3" spans="2:5" s="1" customFormat="1" ht="15" x14ac:dyDescent="0.2"/>
    <row r="4" spans="2:5" s="1" customFormat="1" ht="15" x14ac:dyDescent="0.2">
      <c r="C4" s="2" t="s">
        <v>1</v>
      </c>
      <c r="D4" s="2"/>
    </row>
    <row r="5" spans="2:5" s="1" customFormat="1" ht="15.75" thickBot="1" x14ac:dyDescent="0.25">
      <c r="C5" s="3"/>
      <c r="D5" s="3"/>
    </row>
    <row r="6" spans="2:5" s="1" customFormat="1" ht="15" x14ac:dyDescent="0.2">
      <c r="B6" s="5"/>
      <c r="C6" s="6"/>
      <c r="D6" s="6"/>
      <c r="E6" s="8"/>
    </row>
    <row r="7" spans="2:5" s="1" customFormat="1" ht="15" x14ac:dyDescent="0.2">
      <c r="B7" s="9"/>
      <c r="C7" s="10" t="s">
        <v>93</v>
      </c>
      <c r="D7" s="99">
        <v>2</v>
      </c>
      <c r="E7" s="11"/>
    </row>
    <row r="8" spans="2:5" s="1" customFormat="1" ht="15" x14ac:dyDescent="0.2">
      <c r="B8" s="9"/>
      <c r="C8" s="10" t="s">
        <v>81</v>
      </c>
      <c r="D8" s="72">
        <v>0.04</v>
      </c>
      <c r="E8" s="11"/>
    </row>
    <row r="9" spans="2:5" s="1" customFormat="1" ht="15" x14ac:dyDescent="0.2">
      <c r="B9" s="9"/>
      <c r="C9" s="10" t="s">
        <v>11</v>
      </c>
      <c r="D9" s="102">
        <v>53</v>
      </c>
      <c r="E9" s="11"/>
    </row>
    <row r="10" spans="2:5" s="1" customFormat="1" ht="15" x14ac:dyDescent="0.2">
      <c r="B10" s="9"/>
      <c r="C10" s="10" t="s">
        <v>6</v>
      </c>
      <c r="D10" s="72">
        <v>0.11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  <c r="D13" s="2"/>
    </row>
    <row r="14" spans="2:5" s="1" customFormat="1" ht="15.75" thickBot="1" x14ac:dyDescent="0.25">
      <c r="C14" s="3"/>
      <c r="D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19" t="s">
        <v>94</v>
      </c>
      <c r="D16" s="103">
        <f>PV(D10,D7,-1)</f>
        <v>1.7125233341449568</v>
      </c>
      <c r="E16" s="34"/>
    </row>
    <row r="17" spans="2:5" s="1" customFormat="1" ht="15" x14ac:dyDescent="0.2">
      <c r="B17" s="18"/>
      <c r="C17" s="19"/>
      <c r="D17" s="98"/>
      <c r="E17" s="34"/>
    </row>
    <row r="18" spans="2:5" s="1" customFormat="1" ht="15" x14ac:dyDescent="0.2">
      <c r="B18" s="18"/>
      <c r="C18" s="19" t="s">
        <v>95</v>
      </c>
      <c r="D18" s="104">
        <f>((1+D8)/(D10-D8))/((1+D10)^D7)</f>
        <v>12.058390436768812</v>
      </c>
      <c r="E18" s="34"/>
    </row>
    <row r="19" spans="2:5" s="1" customFormat="1" ht="15" x14ac:dyDescent="0.2">
      <c r="B19" s="18"/>
      <c r="C19" s="19"/>
      <c r="D19" s="98"/>
      <c r="E19" s="34"/>
    </row>
    <row r="20" spans="2:5" s="1" customFormat="1" ht="15" x14ac:dyDescent="0.2">
      <c r="B20" s="18"/>
      <c r="C20" s="19" t="s">
        <v>96</v>
      </c>
      <c r="D20" s="104">
        <f>D16+D18</f>
        <v>13.770913770913769</v>
      </c>
      <c r="E20" s="34"/>
    </row>
    <row r="21" spans="2:5" s="1" customFormat="1" ht="15" x14ac:dyDescent="0.2">
      <c r="B21" s="18"/>
      <c r="C21" s="19"/>
      <c r="D21" s="97"/>
      <c r="E21" s="34"/>
    </row>
    <row r="22" spans="2:5" s="1" customFormat="1" ht="15.75" x14ac:dyDescent="0.25">
      <c r="B22" s="18"/>
      <c r="C22" s="19" t="s">
        <v>97</v>
      </c>
      <c r="D22" s="101">
        <f>D9/D20</f>
        <v>3.8486915887850475</v>
      </c>
      <c r="E22" s="34"/>
    </row>
    <row r="23" spans="2:5" s="1" customFormat="1" ht="15" customHeight="1" thickBot="1" x14ac:dyDescent="0.25">
      <c r="B23" s="24"/>
      <c r="C23" s="25"/>
      <c r="D23" s="25"/>
      <c r="E23" s="26"/>
    </row>
    <row r="24" spans="2:5" s="1" customFormat="1" ht="15" x14ac:dyDescent="0.2"/>
    <row r="25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6"/>
  <dimension ref="B1:E2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85546875" bestFit="1" customWidth="1"/>
    <col min="4" max="4" width="16.85546875" bestFit="1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170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100</v>
      </c>
      <c r="D7" s="105">
        <v>23000000</v>
      </c>
      <c r="E7" s="11"/>
    </row>
    <row r="8" spans="2:5" s="1" customFormat="1" ht="15" x14ac:dyDescent="0.2">
      <c r="B8" s="9"/>
      <c r="C8" s="10" t="s">
        <v>101</v>
      </c>
      <c r="D8" s="72">
        <v>0.3</v>
      </c>
      <c r="E8" s="11"/>
    </row>
    <row r="9" spans="2:5" s="1" customFormat="1" ht="15" x14ac:dyDescent="0.2">
      <c r="B9" s="9"/>
      <c r="C9" s="10" t="s">
        <v>102</v>
      </c>
      <c r="D9" s="79">
        <v>2000000</v>
      </c>
      <c r="E9" s="11"/>
    </row>
    <row r="10" spans="2:5" s="1" customFormat="1" ht="15" x14ac:dyDescent="0.2">
      <c r="B10" s="9"/>
      <c r="C10" s="10" t="s">
        <v>11</v>
      </c>
      <c r="D10" s="93">
        <v>97</v>
      </c>
      <c r="E10" s="11"/>
    </row>
    <row r="11" spans="2:5" s="1" customFormat="1" ht="15" x14ac:dyDescent="0.2">
      <c r="B11" s="9"/>
      <c r="C11" s="10" t="s">
        <v>79</v>
      </c>
      <c r="D11" s="72">
        <v>0.13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" x14ac:dyDescent="0.2">
      <c r="B17" s="18"/>
      <c r="C17" s="19" t="s">
        <v>81</v>
      </c>
      <c r="D17" s="53">
        <f>D11*(1-D8)</f>
        <v>9.0999999999999998E-2</v>
      </c>
      <c r="E17" s="34"/>
    </row>
    <row r="18" spans="2:5" s="1" customFormat="1" ht="15" x14ac:dyDescent="0.2">
      <c r="B18" s="18"/>
      <c r="C18" s="19"/>
      <c r="D18" s="35"/>
      <c r="E18" s="34"/>
    </row>
    <row r="19" spans="2:5" s="1" customFormat="1" ht="15" x14ac:dyDescent="0.2">
      <c r="B19" s="18"/>
      <c r="C19" s="19" t="s">
        <v>103</v>
      </c>
      <c r="D19" s="35">
        <f>(D7*D8)/D9</f>
        <v>3.45</v>
      </c>
      <c r="E19" s="34"/>
    </row>
    <row r="20" spans="2:5" s="1" customFormat="1" ht="15" x14ac:dyDescent="0.2">
      <c r="B20" s="18"/>
      <c r="C20" s="19"/>
      <c r="D20" s="35"/>
      <c r="E20" s="34"/>
    </row>
    <row r="21" spans="2:5" s="1" customFormat="1" ht="15" x14ac:dyDescent="0.2">
      <c r="B21" s="18"/>
      <c r="C21" s="19" t="s">
        <v>104</v>
      </c>
      <c r="D21" s="35">
        <f>D19*(1+D17)</f>
        <v>3.7639499999999999</v>
      </c>
      <c r="E21" s="34"/>
    </row>
    <row r="22" spans="2:5" s="1" customFormat="1" ht="15" x14ac:dyDescent="0.2">
      <c r="B22" s="18"/>
      <c r="C22" s="19"/>
      <c r="D22" s="35"/>
      <c r="E22" s="34"/>
    </row>
    <row r="23" spans="2:5" s="1" customFormat="1" ht="15.75" x14ac:dyDescent="0.25">
      <c r="B23" s="18"/>
      <c r="C23" s="19" t="s">
        <v>6</v>
      </c>
      <c r="D23" s="30">
        <f>(D21/D10)+D17</f>
        <v>0.12980360824742268</v>
      </c>
      <c r="E23" s="34"/>
    </row>
    <row r="24" spans="2:5" s="1" customFormat="1" ht="15" customHeight="1" thickBot="1" x14ac:dyDescent="0.25">
      <c r="B24" s="24"/>
      <c r="C24" s="25"/>
      <c r="D24" s="25"/>
      <c r="E24" s="26"/>
    </row>
    <row r="25" spans="2:5" s="1" customFormat="1" ht="15" x14ac:dyDescent="0.2"/>
    <row r="2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7"/>
  <dimension ref="B1:E23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40.5703125" bestFit="1" customWidth="1"/>
    <col min="4" max="4" width="16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98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106</v>
      </c>
      <c r="D7" s="102">
        <v>1.51</v>
      </c>
      <c r="E7" s="11"/>
    </row>
    <row r="8" spans="2:5" s="1" customFormat="1" ht="15" x14ac:dyDescent="0.2">
      <c r="B8" s="9"/>
      <c r="C8" s="10" t="s">
        <v>107</v>
      </c>
      <c r="D8" s="89">
        <v>4</v>
      </c>
      <c r="E8" s="11"/>
    </row>
    <row r="9" spans="2:5" s="1" customFormat="1" ht="15" x14ac:dyDescent="0.2">
      <c r="B9" s="9"/>
      <c r="C9" s="10" t="s">
        <v>14</v>
      </c>
      <c r="D9" s="93">
        <v>1.87</v>
      </c>
      <c r="E9" s="11"/>
    </row>
    <row r="10" spans="2:5" s="1" customFormat="1" ht="15" x14ac:dyDescent="0.2">
      <c r="B10" s="9"/>
      <c r="C10" s="10" t="s">
        <v>108</v>
      </c>
      <c r="D10" s="79">
        <v>5</v>
      </c>
      <c r="E10" s="11"/>
    </row>
    <row r="11" spans="2:5" s="1" customFormat="1" ht="15" x14ac:dyDescent="0.2">
      <c r="B11" s="9"/>
      <c r="C11" s="10" t="s">
        <v>109</v>
      </c>
      <c r="D11" s="72">
        <v>0.05</v>
      </c>
      <c r="E11" s="11"/>
    </row>
    <row r="12" spans="2:5" s="1" customFormat="1" ht="15" x14ac:dyDescent="0.2">
      <c r="B12" s="9"/>
      <c r="C12" s="10" t="s">
        <v>111</v>
      </c>
      <c r="D12" s="89">
        <v>7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" x14ac:dyDescent="0.2">
      <c r="B18" s="18"/>
      <c r="C18" s="19" t="s">
        <v>110</v>
      </c>
      <c r="D18" s="53">
        <f>RATE(D8,0,D7,-D9)</f>
        <v>5.4911835310487107E-2</v>
      </c>
      <c r="E18" s="34"/>
    </row>
    <row r="19" spans="2:5" s="1" customFormat="1" ht="15" x14ac:dyDescent="0.2">
      <c r="B19" s="18"/>
      <c r="C19" s="19"/>
      <c r="D19" s="35"/>
      <c r="E19" s="34"/>
    </row>
    <row r="20" spans="2:5" s="1" customFormat="1" ht="15.75" x14ac:dyDescent="0.25">
      <c r="B20" s="18"/>
      <c r="C20" s="19" t="s">
        <v>112</v>
      </c>
      <c r="D20" s="28">
        <f>D9*((1+D18)^D10)*((1+D11)^(D12-D10))</f>
        <v>2.6934010725690163</v>
      </c>
      <c r="E20" s="34"/>
    </row>
    <row r="21" spans="2:5" s="1" customFormat="1" ht="15" customHeight="1" thickBot="1" x14ac:dyDescent="0.25">
      <c r="B21" s="24"/>
      <c r="C21" s="25"/>
      <c r="D21" s="25"/>
      <c r="E21" s="26"/>
    </row>
    <row r="22" spans="2:5" s="1" customFormat="1" ht="15" x14ac:dyDescent="0.2"/>
    <row r="23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8"/>
  <dimension ref="B1:E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7.5703125" bestFit="1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99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115</v>
      </c>
      <c r="D7" s="105">
        <v>630000</v>
      </c>
      <c r="E7" s="11"/>
    </row>
    <row r="8" spans="2:5" s="1" customFormat="1" ht="15" x14ac:dyDescent="0.2">
      <c r="B8" s="9"/>
      <c r="C8" s="10" t="s">
        <v>6</v>
      </c>
      <c r="D8" s="72">
        <v>0.11</v>
      </c>
      <c r="E8" s="11"/>
    </row>
    <row r="9" spans="2:5" s="1" customFormat="1" ht="15" x14ac:dyDescent="0.2">
      <c r="B9" s="9"/>
      <c r="C9" s="10"/>
      <c r="D9" s="72"/>
      <c r="E9" s="11"/>
    </row>
    <row r="10" spans="2:5" s="1" customFormat="1" ht="15" x14ac:dyDescent="0.2">
      <c r="B10" s="9" t="s">
        <v>117</v>
      </c>
      <c r="C10" s="10" t="s">
        <v>116</v>
      </c>
      <c r="D10" s="106">
        <v>100000</v>
      </c>
      <c r="E10" s="11"/>
    </row>
    <row r="11" spans="2:5" s="1" customFormat="1" ht="15" x14ac:dyDescent="0.2">
      <c r="B11" s="9" t="s">
        <v>120</v>
      </c>
      <c r="C11" s="10" t="s">
        <v>116</v>
      </c>
      <c r="D11" s="106">
        <v>200000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" x14ac:dyDescent="0.2">
      <c r="B17" s="18" t="s">
        <v>118</v>
      </c>
      <c r="C17" s="20" t="s">
        <v>119</v>
      </c>
      <c r="D17" s="91">
        <f>D7/D8</f>
        <v>5727272.7272727275</v>
      </c>
      <c r="E17" s="21"/>
    </row>
    <row r="18" spans="2:5" s="1" customFormat="1" ht="15" x14ac:dyDescent="0.2">
      <c r="B18" s="18"/>
      <c r="C18" s="20"/>
      <c r="D18" s="20"/>
      <c r="E18" s="21"/>
    </row>
    <row r="19" spans="2:5" s="1" customFormat="1" ht="15.75" x14ac:dyDescent="0.25">
      <c r="B19" s="18"/>
      <c r="C19" s="20" t="s">
        <v>44</v>
      </c>
      <c r="D19" s="107">
        <f>D17/D7</f>
        <v>9.0909090909090917</v>
      </c>
      <c r="E19" s="21"/>
    </row>
    <row r="20" spans="2:5" s="1" customFormat="1" ht="15.75" x14ac:dyDescent="0.25">
      <c r="B20" s="18"/>
      <c r="C20" s="20"/>
      <c r="D20" s="108"/>
      <c r="E20" s="21"/>
    </row>
    <row r="21" spans="2:5" s="1" customFormat="1" ht="15" x14ac:dyDescent="0.2">
      <c r="B21" s="18" t="s">
        <v>117</v>
      </c>
      <c r="C21" s="20" t="s">
        <v>119</v>
      </c>
      <c r="D21" s="91">
        <f>(D7+D10)/D8</f>
        <v>6636363.6363636367</v>
      </c>
      <c r="E21" s="21"/>
    </row>
    <row r="22" spans="2:5" s="1" customFormat="1" ht="15.75" x14ac:dyDescent="0.25">
      <c r="B22" s="18"/>
      <c r="C22" s="20"/>
      <c r="D22" s="108"/>
      <c r="E22" s="21"/>
    </row>
    <row r="23" spans="2:5" s="1" customFormat="1" ht="15.75" x14ac:dyDescent="0.25">
      <c r="B23" s="18"/>
      <c r="C23" s="20" t="s">
        <v>44</v>
      </c>
      <c r="D23" s="107">
        <f>D21/D7</f>
        <v>10.533910533910534</v>
      </c>
      <c r="E23" s="21"/>
    </row>
    <row r="24" spans="2:5" s="1" customFormat="1" ht="15.75" x14ac:dyDescent="0.25">
      <c r="B24" s="18"/>
      <c r="C24" s="20"/>
      <c r="D24" s="108"/>
      <c r="E24" s="21"/>
    </row>
    <row r="25" spans="2:5" s="1" customFormat="1" ht="15" x14ac:dyDescent="0.2">
      <c r="B25" s="18" t="s">
        <v>120</v>
      </c>
      <c r="C25" s="20" t="s">
        <v>119</v>
      </c>
      <c r="D25" s="91">
        <f>(D7+D11)/D8</f>
        <v>7545454.5454545459</v>
      </c>
      <c r="E25" s="21"/>
    </row>
    <row r="26" spans="2:5" s="1" customFormat="1" ht="15" x14ac:dyDescent="0.2">
      <c r="B26" s="18"/>
      <c r="C26" s="20"/>
      <c r="D26" s="53"/>
      <c r="E26" s="34"/>
    </row>
    <row r="27" spans="2:5" s="1" customFormat="1" ht="15.75" x14ac:dyDescent="0.25">
      <c r="B27" s="18"/>
      <c r="C27" s="20" t="s">
        <v>44</v>
      </c>
      <c r="D27" s="109">
        <f>D25/D7</f>
        <v>11.976911976911978</v>
      </c>
      <c r="E27" s="34"/>
    </row>
    <row r="28" spans="2:5" s="1" customFormat="1" ht="15" customHeight="1" thickBot="1" x14ac:dyDescent="0.25">
      <c r="B28" s="24"/>
      <c r="C28" s="25"/>
      <c r="D28" s="25"/>
      <c r="E28" s="26"/>
    </row>
    <row r="29" spans="2:5" s="1" customFormat="1" ht="15" x14ac:dyDescent="0.2"/>
    <row r="30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1406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86" t="s">
        <v>189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105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195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5"/>
      <c r="C6" s="7"/>
      <c r="D6" s="7"/>
      <c r="E6" s="8"/>
      <c r="F6" s="1"/>
      <c r="G6" s="1"/>
      <c r="H6" s="1"/>
      <c r="I6" s="1"/>
      <c r="J6" s="1"/>
    </row>
    <row r="7" spans="1:10" ht="15" x14ac:dyDescent="0.2">
      <c r="A7" s="1"/>
      <c r="B7" s="9"/>
      <c r="C7" s="10" t="s">
        <v>138</v>
      </c>
      <c r="D7" s="102">
        <v>3.1</v>
      </c>
      <c r="E7" s="11"/>
      <c r="F7" s="1"/>
      <c r="G7" s="1"/>
      <c r="H7" s="1"/>
      <c r="I7" s="1"/>
      <c r="J7" s="1"/>
    </row>
    <row r="8" spans="1:10" ht="15" x14ac:dyDescent="0.2">
      <c r="A8" s="1"/>
      <c r="B8" s="9"/>
      <c r="C8" s="10" t="s">
        <v>194</v>
      </c>
      <c r="D8" s="79">
        <v>21</v>
      </c>
      <c r="E8" s="11"/>
      <c r="F8" s="1"/>
      <c r="G8" s="1"/>
      <c r="H8" s="1"/>
      <c r="I8" s="1"/>
      <c r="J8" s="1"/>
    </row>
    <row r="9" spans="1:10" ht="15" x14ac:dyDescent="0.2">
      <c r="A9" s="1"/>
      <c r="B9" s="9"/>
      <c r="C9" s="10" t="s">
        <v>196</v>
      </c>
      <c r="D9" s="72">
        <v>0.06</v>
      </c>
      <c r="E9" s="11"/>
      <c r="F9" s="1"/>
      <c r="G9" s="1"/>
      <c r="H9" s="1"/>
      <c r="I9" s="1"/>
      <c r="J9" s="1"/>
    </row>
    <row r="10" spans="1:10" ht="15.75" thickBot="1" x14ac:dyDescent="0.25">
      <c r="A10" s="1"/>
      <c r="B10" s="12"/>
      <c r="C10" s="13"/>
      <c r="D10" s="13"/>
      <c r="E10" s="14"/>
      <c r="F10" s="1"/>
      <c r="G10" s="1"/>
      <c r="H10" s="1"/>
      <c r="I10" s="1"/>
      <c r="J10" s="1"/>
    </row>
    <row r="11" spans="1:10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" x14ac:dyDescent="0.2">
      <c r="A12" s="1"/>
      <c r="B12" s="1"/>
      <c r="C12" s="2" t="s">
        <v>197</v>
      </c>
      <c r="D12" s="1"/>
      <c r="E12" s="1"/>
      <c r="F12" s="1"/>
      <c r="G12" s="1"/>
      <c r="H12" s="1"/>
      <c r="I12" s="1"/>
      <c r="J12" s="1"/>
    </row>
    <row r="13" spans="1:10" ht="15.7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" x14ac:dyDescent="0.2">
      <c r="A14" s="1"/>
      <c r="B14" s="15"/>
      <c r="C14" s="16"/>
      <c r="D14" s="16"/>
      <c r="E14" s="17"/>
      <c r="F14" s="1"/>
      <c r="G14" s="1"/>
      <c r="H14" s="1"/>
      <c r="I14" s="1"/>
      <c r="J14" s="1"/>
    </row>
    <row r="15" spans="1:10" ht="15.75" x14ac:dyDescent="0.25">
      <c r="A15" s="1"/>
      <c r="B15" s="126" t="s">
        <v>70</v>
      </c>
      <c r="C15" s="20" t="s">
        <v>198</v>
      </c>
      <c r="D15" s="127">
        <f>D8*D7</f>
        <v>65.100000000000009</v>
      </c>
      <c r="E15" s="21"/>
      <c r="F15" s="1"/>
      <c r="G15" s="1"/>
      <c r="H15" s="1"/>
      <c r="I15" s="1"/>
      <c r="J15" s="1"/>
    </row>
    <row r="16" spans="1:10" ht="15" x14ac:dyDescent="0.2">
      <c r="A16" s="1"/>
      <c r="B16" s="126"/>
      <c r="C16" s="20"/>
      <c r="D16" s="20"/>
      <c r="E16" s="21"/>
      <c r="F16" s="1"/>
      <c r="G16" s="1"/>
      <c r="H16" s="1"/>
      <c r="I16" s="1"/>
      <c r="J16" s="1"/>
    </row>
    <row r="17" spans="1:10" ht="15" x14ac:dyDescent="0.2">
      <c r="A17" s="1"/>
      <c r="B17" s="126" t="s">
        <v>71</v>
      </c>
      <c r="C17" s="20" t="s">
        <v>199</v>
      </c>
      <c r="D17" s="117">
        <f>D7*(1+D9)</f>
        <v>3.2860000000000005</v>
      </c>
      <c r="E17" s="21"/>
      <c r="F17" s="1"/>
      <c r="G17" s="1"/>
      <c r="H17" s="1"/>
      <c r="I17" s="1"/>
      <c r="J17" s="1"/>
    </row>
    <row r="18" spans="1:10" ht="15" x14ac:dyDescent="0.2">
      <c r="A18" s="1"/>
      <c r="B18" s="126"/>
      <c r="C18" s="20"/>
      <c r="D18" s="20"/>
      <c r="E18" s="21"/>
      <c r="F18" s="1"/>
      <c r="G18" s="1"/>
      <c r="H18" s="1"/>
      <c r="I18" s="1"/>
      <c r="J18" s="1"/>
    </row>
    <row r="19" spans="1:10" ht="15.75" x14ac:dyDescent="0.25">
      <c r="A19" s="1"/>
      <c r="B19" s="126"/>
      <c r="C19" s="20" t="s">
        <v>200</v>
      </c>
      <c r="D19" s="127">
        <f>D17*D8</f>
        <v>69.006000000000014</v>
      </c>
      <c r="E19" s="21"/>
      <c r="F19" s="1"/>
      <c r="G19" s="1"/>
      <c r="H19" s="1"/>
      <c r="I19" s="1"/>
      <c r="J19" s="1"/>
    </row>
    <row r="20" spans="1:10" ht="15" x14ac:dyDescent="0.2">
      <c r="A20" s="1"/>
      <c r="B20" s="126"/>
      <c r="C20" s="20"/>
      <c r="D20" s="20"/>
      <c r="E20" s="21"/>
      <c r="F20" s="1"/>
      <c r="G20" s="1"/>
      <c r="H20" s="1"/>
      <c r="I20" s="1"/>
      <c r="J20" s="1"/>
    </row>
    <row r="21" spans="1:10" ht="15.75" x14ac:dyDescent="0.25">
      <c r="A21" s="1"/>
      <c r="B21" s="126" t="s">
        <v>201</v>
      </c>
      <c r="C21" s="20" t="s">
        <v>202</v>
      </c>
      <c r="D21" s="128">
        <f>(D19-D15)/D15</f>
        <v>6.0000000000000081E-2</v>
      </c>
      <c r="E21" s="21"/>
      <c r="F21" s="1"/>
      <c r="G21" s="1"/>
      <c r="H21" s="1"/>
      <c r="I21" s="1"/>
      <c r="J21" s="1"/>
    </row>
    <row r="22" spans="1:10" ht="15.75" thickBot="1" x14ac:dyDescent="0.25">
      <c r="A22" s="1"/>
      <c r="B22" s="24"/>
      <c r="C22" s="25"/>
      <c r="D22" s="25"/>
      <c r="E22" s="26"/>
      <c r="F22" s="1"/>
      <c r="G22" s="1"/>
      <c r="H22" s="1"/>
      <c r="I22" s="1"/>
      <c r="J22" s="1"/>
    </row>
    <row r="23" spans="1:10" ht="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ageMargins left="0.75" right="0.75" top="1" bottom="1" header="0.5" footer="0.5"/>
  <pageSetup orientation="portrait" horizontalDpi="360" verticalDpi="360" copies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9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113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204</v>
      </c>
      <c r="D7" s="105">
        <v>42000000</v>
      </c>
      <c r="E7" s="11"/>
    </row>
    <row r="8" spans="2:5" s="1" customFormat="1" ht="15" x14ac:dyDescent="0.2">
      <c r="B8" s="9"/>
      <c r="C8" s="10" t="s">
        <v>203</v>
      </c>
      <c r="D8" s="106">
        <v>13000000</v>
      </c>
      <c r="E8" s="11"/>
    </row>
    <row r="9" spans="2:5" s="1" customFormat="1" ht="15" x14ac:dyDescent="0.2">
      <c r="B9" s="9"/>
      <c r="C9" s="10" t="s">
        <v>207</v>
      </c>
      <c r="D9" s="106">
        <v>64000000</v>
      </c>
      <c r="E9" s="11"/>
    </row>
    <row r="10" spans="2:5" s="1" customFormat="1" ht="15" x14ac:dyDescent="0.2">
      <c r="B10" s="9"/>
      <c r="C10" s="10" t="s">
        <v>208</v>
      </c>
      <c r="D10" s="106">
        <v>21000000</v>
      </c>
      <c r="E10" s="11"/>
    </row>
    <row r="11" spans="2:5" s="1" customFormat="1" ht="15" x14ac:dyDescent="0.2">
      <c r="B11" s="9"/>
      <c r="C11" s="10" t="s">
        <v>206</v>
      </c>
      <c r="D11" s="132">
        <v>6.8</v>
      </c>
      <c r="E11" s="11"/>
    </row>
    <row r="12" spans="2:5" s="1" customFormat="1" ht="15" x14ac:dyDescent="0.2">
      <c r="B12" s="9"/>
      <c r="C12" s="10" t="s">
        <v>114</v>
      </c>
      <c r="D12" s="89">
        <v>1750000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" x14ac:dyDescent="0.2">
      <c r="B18" s="18"/>
      <c r="C18" s="20" t="s">
        <v>204</v>
      </c>
      <c r="D18" s="129">
        <f>D7</f>
        <v>42000000</v>
      </c>
      <c r="E18" s="21"/>
    </row>
    <row r="19" spans="2:5" s="1" customFormat="1" ht="15" x14ac:dyDescent="0.2">
      <c r="B19" s="18"/>
      <c r="C19" s="20" t="s">
        <v>203</v>
      </c>
      <c r="D19" s="131">
        <f>D8</f>
        <v>13000000</v>
      </c>
      <c r="E19" s="21"/>
    </row>
    <row r="20" spans="2:5" s="1" customFormat="1" ht="15" x14ac:dyDescent="0.2">
      <c r="B20" s="18"/>
      <c r="C20" s="20" t="s">
        <v>205</v>
      </c>
      <c r="D20" s="129">
        <f>D18-D19</f>
        <v>29000000</v>
      </c>
      <c r="E20" s="21"/>
    </row>
    <row r="21" spans="2:5" s="1" customFormat="1" ht="15" x14ac:dyDescent="0.2">
      <c r="B21" s="18"/>
      <c r="C21" s="20"/>
      <c r="D21" s="130"/>
      <c r="E21" s="21"/>
    </row>
    <row r="22" spans="2:5" s="1" customFormat="1" ht="15.75" x14ac:dyDescent="0.25">
      <c r="B22" s="18"/>
      <c r="C22" s="20" t="s">
        <v>209</v>
      </c>
      <c r="D22" s="134">
        <f>D20*D11</f>
        <v>197200000</v>
      </c>
      <c r="E22" s="21"/>
    </row>
    <row r="23" spans="2:5" s="1" customFormat="1" ht="15" x14ac:dyDescent="0.2">
      <c r="B23" s="18"/>
      <c r="C23" s="20"/>
      <c r="D23" s="117"/>
      <c r="E23" s="21"/>
    </row>
    <row r="24" spans="2:5" s="1" customFormat="1" ht="15" x14ac:dyDescent="0.2">
      <c r="B24" s="18"/>
      <c r="C24" s="20" t="s">
        <v>210</v>
      </c>
      <c r="D24" s="133">
        <f>D22-D9+D10</f>
        <v>154200000</v>
      </c>
      <c r="E24" s="21"/>
    </row>
    <row r="25" spans="2:5" s="1" customFormat="1" ht="15" x14ac:dyDescent="0.2">
      <c r="B25" s="18"/>
      <c r="C25" s="20"/>
      <c r="D25" s="117"/>
      <c r="E25" s="21"/>
    </row>
    <row r="26" spans="2:5" s="1" customFormat="1" ht="15.75" x14ac:dyDescent="0.25">
      <c r="B26" s="18"/>
      <c r="C26" s="20" t="s">
        <v>16</v>
      </c>
      <c r="D26" s="127">
        <f>D24/D12</f>
        <v>88.114285714285714</v>
      </c>
      <c r="E26" s="21"/>
    </row>
    <row r="27" spans="2:5" s="1" customFormat="1" ht="15" customHeight="1" thickBot="1" x14ac:dyDescent="0.25">
      <c r="B27" s="24"/>
      <c r="C27" s="25"/>
      <c r="D27" s="25"/>
      <c r="E27" s="26"/>
    </row>
    <row r="28" spans="2:5" s="1" customFormat="1" ht="15" x14ac:dyDescent="0.2"/>
    <row r="29" spans="2:5" s="1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9.140625" customWidth="1"/>
    <col min="5" max="9" width="16.85546875" bestFit="1" customWidth="1"/>
    <col min="10" max="10" width="3.140625" customWidth="1"/>
  </cols>
  <sheetData>
    <row r="1" spans="2:10" s="1" customFormat="1" ht="18" x14ac:dyDescent="0.25">
      <c r="C1" s="86" t="s">
        <v>189</v>
      </c>
    </row>
    <row r="2" spans="2:10" s="1" customFormat="1" ht="15" x14ac:dyDescent="0.2">
      <c r="C2" s="1" t="s">
        <v>146</v>
      </c>
    </row>
    <row r="3" spans="2:10" s="1" customFormat="1" ht="15" x14ac:dyDescent="0.2"/>
    <row r="4" spans="2:10" s="1" customFormat="1" ht="15" x14ac:dyDescent="0.2">
      <c r="C4" s="2" t="s">
        <v>1</v>
      </c>
    </row>
    <row r="5" spans="2:10" s="1" customFormat="1" ht="15.75" thickBot="1" x14ac:dyDescent="0.25">
      <c r="C5" s="3"/>
      <c r="D5" s="4"/>
    </row>
    <row r="6" spans="2:10" s="1" customFormat="1" ht="15" x14ac:dyDescent="0.2">
      <c r="B6" s="5"/>
      <c r="C6" s="6"/>
      <c r="D6" s="7"/>
      <c r="E6" s="7"/>
      <c r="F6" s="7"/>
      <c r="G6" s="7"/>
      <c r="H6" s="7"/>
      <c r="I6" s="7"/>
      <c r="J6" s="8"/>
    </row>
    <row r="7" spans="2:10" s="1" customFormat="1" ht="15" x14ac:dyDescent="0.2">
      <c r="B7" s="9"/>
      <c r="C7" s="10" t="s">
        <v>204</v>
      </c>
      <c r="D7" s="105">
        <v>135000000</v>
      </c>
      <c r="E7" s="105"/>
      <c r="F7" s="105"/>
      <c r="G7" s="105"/>
      <c r="H7" s="105"/>
      <c r="I7" s="105"/>
      <c r="J7" s="11"/>
    </row>
    <row r="8" spans="2:10" s="1" customFormat="1" ht="15" x14ac:dyDescent="0.2">
      <c r="B8" s="9"/>
      <c r="C8" s="10" t="s">
        <v>203</v>
      </c>
      <c r="D8" s="106">
        <v>76000000</v>
      </c>
      <c r="E8" s="106"/>
      <c r="F8" s="106"/>
      <c r="G8" s="106"/>
      <c r="H8" s="106"/>
      <c r="I8" s="106"/>
      <c r="J8" s="11"/>
    </row>
    <row r="9" spans="2:10" s="1" customFormat="1" ht="15" x14ac:dyDescent="0.2">
      <c r="B9" s="9"/>
      <c r="C9" s="10" t="s">
        <v>219</v>
      </c>
      <c r="D9" s="105">
        <v>15000000</v>
      </c>
      <c r="E9" s="106"/>
      <c r="F9" s="106"/>
      <c r="G9" s="106"/>
      <c r="H9" s="106"/>
      <c r="I9" s="106"/>
      <c r="J9" s="11"/>
    </row>
    <row r="10" spans="2:10" s="1" customFormat="1" ht="15" x14ac:dyDescent="0.2">
      <c r="B10" s="9"/>
      <c r="C10" s="10"/>
      <c r="D10" s="106"/>
      <c r="E10" s="106"/>
      <c r="F10" s="106"/>
      <c r="G10" s="106"/>
      <c r="H10" s="106"/>
      <c r="I10" s="106"/>
      <c r="J10" s="11"/>
    </row>
    <row r="11" spans="2:10" s="1" customFormat="1" ht="17.25" x14ac:dyDescent="0.35">
      <c r="B11" s="9"/>
      <c r="C11" s="10"/>
      <c r="D11" s="137" t="s">
        <v>211</v>
      </c>
      <c r="E11" s="137" t="s">
        <v>212</v>
      </c>
      <c r="F11" s="137" t="s">
        <v>213</v>
      </c>
      <c r="G11" s="137" t="s">
        <v>214</v>
      </c>
      <c r="H11" s="106"/>
      <c r="I11" s="106"/>
      <c r="J11" s="11"/>
    </row>
    <row r="12" spans="2:10" s="1" customFormat="1" ht="15" x14ac:dyDescent="0.2">
      <c r="B12" s="9"/>
      <c r="C12" s="10" t="s">
        <v>221</v>
      </c>
      <c r="D12" s="72">
        <v>0.14000000000000001</v>
      </c>
      <c r="E12" s="72">
        <v>0.12</v>
      </c>
      <c r="F12" s="72">
        <v>0.1</v>
      </c>
      <c r="G12" s="72">
        <v>0.08</v>
      </c>
      <c r="H12" s="106"/>
      <c r="I12" s="106"/>
      <c r="J12" s="11"/>
    </row>
    <row r="13" spans="2:10" s="1" customFormat="1" ht="15" x14ac:dyDescent="0.2">
      <c r="B13" s="9"/>
      <c r="C13" s="10"/>
      <c r="D13" s="72"/>
      <c r="E13" s="72"/>
      <c r="F13" s="72"/>
      <c r="G13" s="72"/>
      <c r="H13" s="106"/>
      <c r="I13" s="106"/>
      <c r="J13" s="11"/>
    </row>
    <row r="14" spans="2:10" s="1" customFormat="1" ht="15" x14ac:dyDescent="0.2">
      <c r="B14" s="9"/>
      <c r="C14" s="10" t="s">
        <v>228</v>
      </c>
      <c r="D14" s="72">
        <v>0.06</v>
      </c>
      <c r="E14" s="72"/>
      <c r="F14" s="72"/>
      <c r="G14" s="72"/>
      <c r="H14" s="72"/>
      <c r="I14" s="72"/>
      <c r="J14" s="11"/>
    </row>
    <row r="15" spans="2:10" s="1" customFormat="1" ht="15" x14ac:dyDescent="0.2">
      <c r="B15" s="9"/>
      <c r="C15" s="10" t="s">
        <v>114</v>
      </c>
      <c r="D15" s="89">
        <v>5500000</v>
      </c>
      <c r="E15" s="72"/>
      <c r="F15" s="72"/>
      <c r="G15" s="72"/>
      <c r="H15" s="72"/>
      <c r="I15" s="72"/>
      <c r="J15" s="11"/>
    </row>
    <row r="16" spans="2:10" s="1" customFormat="1" ht="15" x14ac:dyDescent="0.2">
      <c r="B16" s="9"/>
      <c r="C16" s="10" t="s">
        <v>6</v>
      </c>
      <c r="D16" s="72">
        <v>0.13</v>
      </c>
      <c r="E16" s="72"/>
      <c r="F16" s="72"/>
      <c r="G16" s="72"/>
      <c r="H16" s="72"/>
      <c r="I16" s="72"/>
      <c r="J16" s="11"/>
    </row>
    <row r="17" spans="2:10" s="1" customFormat="1" ht="15" x14ac:dyDescent="0.2">
      <c r="B17" s="9"/>
      <c r="C17" s="10" t="s">
        <v>83</v>
      </c>
      <c r="D17" s="72">
        <v>0.4</v>
      </c>
      <c r="E17" s="72"/>
      <c r="F17" s="72"/>
      <c r="G17" s="72"/>
      <c r="H17" s="72"/>
      <c r="I17" s="72"/>
      <c r="J17" s="11"/>
    </row>
    <row r="18" spans="2:10" s="1" customFormat="1" ht="15.75" x14ac:dyDescent="0.25">
      <c r="B18" s="138" t="s">
        <v>71</v>
      </c>
      <c r="C18" s="10" t="s">
        <v>227</v>
      </c>
      <c r="D18" s="89">
        <v>11</v>
      </c>
      <c r="E18" s="72"/>
      <c r="F18" s="72"/>
      <c r="G18" s="72"/>
      <c r="H18" s="72"/>
      <c r="I18" s="72"/>
      <c r="J18" s="11"/>
    </row>
    <row r="19" spans="2:10" s="1" customFormat="1" ht="15" customHeight="1" thickBot="1" x14ac:dyDescent="0.25">
      <c r="B19" s="12"/>
      <c r="C19" s="13"/>
      <c r="D19" s="13"/>
      <c r="E19" s="13"/>
      <c r="F19" s="13"/>
      <c r="G19" s="13"/>
      <c r="H19" s="13"/>
      <c r="I19" s="13"/>
      <c r="J19" s="14"/>
    </row>
    <row r="20" spans="2:10" s="1" customFormat="1" ht="15" x14ac:dyDescent="0.2"/>
    <row r="21" spans="2:10" s="1" customFormat="1" ht="15" x14ac:dyDescent="0.2">
      <c r="C21" s="2" t="s">
        <v>2</v>
      </c>
    </row>
    <row r="22" spans="2:10" s="1" customFormat="1" ht="15.75" thickBot="1" x14ac:dyDescent="0.25">
      <c r="C22" s="3"/>
    </row>
    <row r="23" spans="2:10" s="1" customFormat="1" ht="15" x14ac:dyDescent="0.2">
      <c r="B23" s="15"/>
      <c r="C23" s="16"/>
      <c r="D23" s="16"/>
      <c r="E23" s="16"/>
      <c r="F23" s="16"/>
      <c r="G23" s="16"/>
      <c r="H23" s="16"/>
      <c r="I23" s="16"/>
      <c r="J23" s="17"/>
    </row>
    <row r="24" spans="2:10" s="1" customFormat="1" ht="15" x14ac:dyDescent="0.2">
      <c r="B24" s="18"/>
      <c r="C24" s="20"/>
      <c r="D24" s="136" t="s">
        <v>211</v>
      </c>
      <c r="E24" s="136" t="s">
        <v>212</v>
      </c>
      <c r="F24" s="136" t="s">
        <v>213</v>
      </c>
      <c r="G24" s="136" t="s">
        <v>214</v>
      </c>
      <c r="H24" s="136" t="s">
        <v>215</v>
      </c>
      <c r="I24" s="136" t="s">
        <v>217</v>
      </c>
      <c r="J24" s="21"/>
    </row>
    <row r="25" spans="2:10" s="1" customFormat="1" ht="15" x14ac:dyDescent="0.2">
      <c r="B25" s="126" t="s">
        <v>70</v>
      </c>
      <c r="C25" s="20" t="s">
        <v>204</v>
      </c>
      <c r="D25" s="129">
        <f>D7</f>
        <v>135000000</v>
      </c>
      <c r="E25" s="129">
        <f>D25*(1+D12)</f>
        <v>153900000.00000003</v>
      </c>
      <c r="F25" s="129">
        <f>E25*(1+E12)</f>
        <v>172368000.00000006</v>
      </c>
      <c r="G25" s="129">
        <f>F25*(1+F12)</f>
        <v>189604800.00000009</v>
      </c>
      <c r="H25" s="129">
        <f>G25*(1+G12)</f>
        <v>204773184.00000012</v>
      </c>
      <c r="I25" s="129">
        <f>H25*(1+D14)</f>
        <v>217059575.04000014</v>
      </c>
      <c r="J25" s="21"/>
    </row>
    <row r="26" spans="2:10" s="1" customFormat="1" ht="15" x14ac:dyDescent="0.2">
      <c r="B26" s="82"/>
      <c r="C26" s="20" t="s">
        <v>203</v>
      </c>
      <c r="D26" s="131">
        <f>D8</f>
        <v>76000000</v>
      </c>
      <c r="E26" s="131">
        <f>D26*(1+D12)</f>
        <v>86640000.000000015</v>
      </c>
      <c r="F26" s="131">
        <f>E26*(1+E12)</f>
        <v>97036800.00000003</v>
      </c>
      <c r="G26" s="131">
        <f>F26*(1+F12)</f>
        <v>106740480.00000004</v>
      </c>
      <c r="H26" s="131">
        <f>G26*(1+G12)</f>
        <v>115279718.40000005</v>
      </c>
      <c r="I26" s="131">
        <f>H26*(1+D14)</f>
        <v>122196501.50400005</v>
      </c>
      <c r="J26" s="21"/>
    </row>
    <row r="27" spans="2:10" s="1" customFormat="1" ht="15" x14ac:dyDescent="0.2">
      <c r="B27" s="82"/>
      <c r="C27" s="20" t="s">
        <v>216</v>
      </c>
      <c r="D27" s="129">
        <f>D25-D26</f>
        <v>59000000</v>
      </c>
      <c r="E27" s="129">
        <f t="shared" ref="E27:I27" si="0">E25-E26</f>
        <v>67260000.000000015</v>
      </c>
      <c r="F27" s="129">
        <f t="shared" si="0"/>
        <v>75331200.00000003</v>
      </c>
      <c r="G27" s="129">
        <f t="shared" si="0"/>
        <v>82864320.000000045</v>
      </c>
      <c r="H27" s="129">
        <f t="shared" si="0"/>
        <v>89493465.600000069</v>
      </c>
      <c r="I27" s="129">
        <f t="shared" si="0"/>
        <v>94863073.536000088</v>
      </c>
      <c r="J27" s="21"/>
    </row>
    <row r="28" spans="2:10" s="1" customFormat="1" ht="15" x14ac:dyDescent="0.2">
      <c r="B28" s="82"/>
      <c r="C28" s="20" t="s">
        <v>218</v>
      </c>
      <c r="D28" s="131">
        <f>D27*$D$17</f>
        <v>23600000</v>
      </c>
      <c r="E28" s="131">
        <f t="shared" ref="E28:I28" si="1">E27*$D$17</f>
        <v>26904000.000000007</v>
      </c>
      <c r="F28" s="131">
        <f t="shared" si="1"/>
        <v>30132480.000000015</v>
      </c>
      <c r="G28" s="131">
        <f t="shared" si="1"/>
        <v>33145728.000000019</v>
      </c>
      <c r="H28" s="131">
        <f t="shared" si="1"/>
        <v>35797386.240000032</v>
      </c>
      <c r="I28" s="131">
        <f t="shared" si="1"/>
        <v>37945229.414400034</v>
      </c>
      <c r="J28" s="21"/>
    </row>
    <row r="29" spans="2:10" s="1" customFormat="1" ht="15" x14ac:dyDescent="0.2">
      <c r="B29" s="82"/>
      <c r="C29" s="20" t="s">
        <v>100</v>
      </c>
      <c r="D29" s="129">
        <f>D27-D28</f>
        <v>35400000</v>
      </c>
      <c r="E29" s="129">
        <f t="shared" ref="E29:I29" si="2">E27-E28</f>
        <v>40356000.000000007</v>
      </c>
      <c r="F29" s="129">
        <f t="shared" si="2"/>
        <v>45198720.000000015</v>
      </c>
      <c r="G29" s="129">
        <f t="shared" si="2"/>
        <v>49718592.00000003</v>
      </c>
      <c r="H29" s="129">
        <f t="shared" si="2"/>
        <v>53696079.360000037</v>
      </c>
      <c r="I29" s="129">
        <f t="shared" si="2"/>
        <v>56917844.121600054</v>
      </c>
      <c r="J29" s="21"/>
    </row>
    <row r="30" spans="2:10" s="1" customFormat="1" ht="15" x14ac:dyDescent="0.2">
      <c r="B30" s="82"/>
      <c r="C30" s="20" t="s">
        <v>219</v>
      </c>
      <c r="D30" s="131">
        <f>D9</f>
        <v>15000000</v>
      </c>
      <c r="E30" s="131">
        <f>D30*(1+D12)</f>
        <v>17100000.000000004</v>
      </c>
      <c r="F30" s="131">
        <f>E30*(1+E12)</f>
        <v>19152000.000000007</v>
      </c>
      <c r="G30" s="131">
        <f>F30*(1+F12)</f>
        <v>21067200.000000011</v>
      </c>
      <c r="H30" s="131">
        <f>G30*(1+G12)</f>
        <v>22752576.000000015</v>
      </c>
      <c r="I30" s="131">
        <f>H30*(1+D14)</f>
        <v>24117730.560000017</v>
      </c>
      <c r="J30" s="21"/>
    </row>
    <row r="31" spans="2:10" s="1" customFormat="1" ht="15" x14ac:dyDescent="0.2">
      <c r="B31" s="82"/>
      <c r="C31" s="20" t="s">
        <v>220</v>
      </c>
      <c r="D31" s="129">
        <f>D29-D30</f>
        <v>20400000</v>
      </c>
      <c r="E31" s="129">
        <f t="shared" ref="E31:I31" si="3">E29-E30</f>
        <v>23256000.000000004</v>
      </c>
      <c r="F31" s="129">
        <f t="shared" si="3"/>
        <v>26046720.000000007</v>
      </c>
      <c r="G31" s="129">
        <f t="shared" si="3"/>
        <v>28651392.000000019</v>
      </c>
      <c r="H31" s="129">
        <f t="shared" si="3"/>
        <v>30943503.360000022</v>
      </c>
      <c r="I31" s="129">
        <f t="shared" si="3"/>
        <v>32800113.561600037</v>
      </c>
      <c r="J31" s="21"/>
    </row>
    <row r="32" spans="2:10" s="1" customFormat="1" ht="15" x14ac:dyDescent="0.2">
      <c r="B32" s="82"/>
      <c r="C32" s="20"/>
      <c r="D32" s="129"/>
      <c r="E32" s="129"/>
      <c r="F32" s="129"/>
      <c r="G32" s="129"/>
      <c r="H32" s="129"/>
      <c r="I32" s="129"/>
      <c r="J32" s="21"/>
    </row>
    <row r="33" spans="2:10" s="1" customFormat="1" ht="15" x14ac:dyDescent="0.2">
      <c r="B33" s="82"/>
      <c r="C33" s="20" t="s">
        <v>222</v>
      </c>
      <c r="D33" s="129">
        <f>I31*(1+D14)</f>
        <v>34768120.375296041</v>
      </c>
      <c r="E33" s="129"/>
      <c r="F33" s="129"/>
      <c r="G33" s="129"/>
      <c r="H33" s="129"/>
      <c r="I33" s="129"/>
      <c r="J33" s="21"/>
    </row>
    <row r="34" spans="2:10" s="1" customFormat="1" ht="15" x14ac:dyDescent="0.2">
      <c r="B34" s="82"/>
      <c r="C34" s="20"/>
      <c r="D34" s="129"/>
      <c r="E34" s="129"/>
      <c r="F34" s="129"/>
      <c r="G34" s="129"/>
      <c r="H34" s="129"/>
      <c r="I34" s="129"/>
      <c r="J34" s="21"/>
    </row>
    <row r="35" spans="2:10" s="1" customFormat="1" ht="15" x14ac:dyDescent="0.2">
      <c r="B35" s="82"/>
      <c r="C35" s="20" t="s">
        <v>223</v>
      </c>
      <c r="D35" s="129">
        <f>D33/(D16-D14)</f>
        <v>496687433.93280053</v>
      </c>
      <c r="E35" s="129"/>
      <c r="F35" s="129"/>
      <c r="G35" s="129"/>
      <c r="H35" s="129"/>
      <c r="I35" s="129"/>
      <c r="J35" s="21"/>
    </row>
    <row r="36" spans="2:10" s="1" customFormat="1" ht="15" x14ac:dyDescent="0.2">
      <c r="B36" s="82"/>
      <c r="C36" s="20"/>
      <c r="D36" s="129"/>
      <c r="E36" s="129"/>
      <c r="F36" s="129"/>
      <c r="G36" s="129"/>
      <c r="H36" s="129"/>
      <c r="I36" s="129"/>
      <c r="J36" s="21"/>
    </row>
    <row r="37" spans="2:10" s="1" customFormat="1" ht="15" x14ac:dyDescent="0.2">
      <c r="B37" s="82"/>
      <c r="C37" s="20" t="s">
        <v>224</v>
      </c>
      <c r="D37" s="133">
        <f>NPV(D16,D31,E31,F31,G31,H31,I31+D35)</f>
        <v>343007648.43412638</v>
      </c>
      <c r="E37" s="129"/>
      <c r="F37" s="129"/>
      <c r="G37" s="129"/>
      <c r="H37" s="129"/>
      <c r="I37" s="129"/>
      <c r="J37" s="21"/>
    </row>
    <row r="38" spans="2:10" s="1" customFormat="1" ht="15" x14ac:dyDescent="0.2">
      <c r="B38" s="82"/>
      <c r="C38" s="20"/>
      <c r="D38" s="129"/>
      <c r="E38" s="129"/>
      <c r="F38" s="129"/>
      <c r="G38" s="129"/>
      <c r="H38" s="129"/>
      <c r="I38" s="129"/>
      <c r="J38" s="21"/>
    </row>
    <row r="39" spans="2:10" s="1" customFormat="1" ht="15.75" x14ac:dyDescent="0.25">
      <c r="B39" s="82"/>
      <c r="C39" s="20" t="s">
        <v>225</v>
      </c>
      <c r="D39" s="127">
        <f>D37/D15</f>
        <v>62.365026988022976</v>
      </c>
      <c r="E39" s="129"/>
      <c r="F39" s="129"/>
      <c r="G39" s="129"/>
      <c r="H39" s="129"/>
      <c r="I39" s="129"/>
      <c r="J39" s="21"/>
    </row>
    <row r="40" spans="2:10" s="1" customFormat="1" ht="15" x14ac:dyDescent="0.2">
      <c r="B40" s="82"/>
      <c r="C40" s="20"/>
      <c r="D40" s="129"/>
      <c r="E40" s="129"/>
      <c r="F40" s="129"/>
      <c r="G40" s="129"/>
      <c r="H40" s="129"/>
      <c r="I40" s="129"/>
      <c r="J40" s="21"/>
    </row>
    <row r="41" spans="2:10" s="1" customFormat="1" ht="15" x14ac:dyDescent="0.2">
      <c r="B41" s="126" t="s">
        <v>71</v>
      </c>
      <c r="C41" s="20" t="s">
        <v>226</v>
      </c>
      <c r="D41" s="129">
        <f>D18*I29</f>
        <v>626096285.33760059</v>
      </c>
      <c r="E41" s="129"/>
      <c r="F41" s="129"/>
      <c r="G41" s="129"/>
      <c r="H41" s="129"/>
      <c r="I41" s="129"/>
      <c r="J41" s="21"/>
    </row>
    <row r="42" spans="2:10" s="1" customFormat="1" ht="15" x14ac:dyDescent="0.2">
      <c r="B42" s="18"/>
      <c r="C42" s="20"/>
      <c r="D42" s="129"/>
      <c r="E42" s="129"/>
      <c r="F42" s="129"/>
      <c r="G42" s="129"/>
      <c r="H42" s="129"/>
      <c r="I42" s="129"/>
      <c r="J42" s="21"/>
    </row>
    <row r="43" spans="2:10" s="1" customFormat="1" ht="15" x14ac:dyDescent="0.2">
      <c r="B43" s="18"/>
      <c r="C43" s="20" t="s">
        <v>224</v>
      </c>
      <c r="D43" s="133">
        <f>NPV(D16,D31,E31,F31,G31,H31,D41+I31)</f>
        <v>405165117.37769401</v>
      </c>
      <c r="E43" s="129"/>
      <c r="F43" s="129"/>
      <c r="G43" s="129"/>
      <c r="H43" s="129"/>
      <c r="I43" s="129"/>
      <c r="J43" s="21"/>
    </row>
    <row r="44" spans="2:10" s="1" customFormat="1" ht="15" x14ac:dyDescent="0.2">
      <c r="B44" s="18"/>
      <c r="C44" s="20"/>
      <c r="D44" s="129"/>
      <c r="E44" s="130"/>
      <c r="F44" s="130"/>
      <c r="G44" s="130"/>
      <c r="H44" s="130"/>
      <c r="I44" s="130"/>
      <c r="J44" s="21"/>
    </row>
    <row r="45" spans="2:10" s="1" customFormat="1" ht="15.75" x14ac:dyDescent="0.25">
      <c r="B45" s="18"/>
      <c r="C45" s="20" t="s">
        <v>225</v>
      </c>
      <c r="D45" s="127">
        <f>D43/D15</f>
        <v>73.666384977762547</v>
      </c>
      <c r="E45" s="135"/>
      <c r="F45" s="135"/>
      <c r="G45" s="135"/>
      <c r="H45" s="135"/>
      <c r="I45" s="135"/>
      <c r="J45" s="21"/>
    </row>
    <row r="46" spans="2:10" s="1" customFormat="1" ht="15" customHeight="1" thickBot="1" x14ac:dyDescent="0.25">
      <c r="B46" s="24"/>
      <c r="C46" s="25"/>
      <c r="D46" s="25"/>
      <c r="E46" s="25"/>
      <c r="F46" s="25"/>
      <c r="G46" s="25"/>
      <c r="H46" s="25"/>
      <c r="I46" s="25"/>
      <c r="J46" s="26"/>
    </row>
    <row r="47" spans="2:10" s="1" customFormat="1" ht="15" x14ac:dyDescent="0.2"/>
    <row r="48" spans="2:10" s="1" customFormat="1" ht="15" x14ac:dyDescent="0.2"/>
  </sheetData>
  <pageMargins left="0.75" right="0.75" top="1" bottom="1" header="0.5" footer="0.5"/>
  <pageSetup scale="58" orientation="landscape" horizontalDpi="300" r:id="rId1"/>
  <headerFooter alignWithMargins="0"/>
  <ignoredErrors>
    <ignoredError sqref="D28:D30 E28:I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1"/>
  <dimension ref="B1:E1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customWidth="1"/>
    <col min="4" max="4" width="19.5703125" customWidth="1"/>
    <col min="5" max="5" width="3.140625" customWidth="1"/>
    <col min="6" max="6" width="26" bestFit="1" customWidth="1"/>
    <col min="7" max="7" width="13.42578125" customWidth="1"/>
    <col min="8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2.9</v>
      </c>
      <c r="E7" s="11"/>
    </row>
    <row r="8" spans="2:5" s="1" customFormat="1" ht="15" x14ac:dyDescent="0.2">
      <c r="B8" s="9"/>
      <c r="C8" s="10" t="s">
        <v>5</v>
      </c>
      <c r="D8" s="77">
        <v>5.5E-2</v>
      </c>
      <c r="E8" s="11"/>
    </row>
    <row r="9" spans="2:5" s="1" customFormat="1" ht="15" x14ac:dyDescent="0.2">
      <c r="B9" s="9"/>
      <c r="C9" s="10" t="s">
        <v>11</v>
      </c>
      <c r="D9" s="71">
        <v>53.1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149</v>
      </c>
      <c r="D15" s="30">
        <f>D7/D9+D8</f>
        <v>0.10961393596986817</v>
      </c>
      <c r="E15" s="21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11"/>
  <dimension ref="B1:G5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bestFit="1" customWidth="1"/>
    <col min="4" max="4" width="13.140625" customWidth="1"/>
    <col min="5" max="5" width="3.140625" customWidth="1"/>
    <col min="7" max="7" width="10.8554687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253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  <c r="E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6</v>
      </c>
      <c r="D7" s="72">
        <v>0.14000000000000001</v>
      </c>
      <c r="E7" s="43"/>
    </row>
    <row r="8" spans="2:5" s="1" customFormat="1" ht="15" x14ac:dyDescent="0.2">
      <c r="B8" s="9"/>
      <c r="C8" s="10" t="s">
        <v>47</v>
      </c>
      <c r="D8" s="93">
        <v>3.5</v>
      </c>
      <c r="E8" s="44"/>
    </row>
    <row r="9" spans="2:5" s="1" customFormat="1" ht="15" x14ac:dyDescent="0.2">
      <c r="B9" s="9"/>
      <c r="C9" s="10"/>
      <c r="D9" s="77"/>
      <c r="E9" s="45"/>
    </row>
    <row r="10" spans="2:5" s="1" customFormat="1" ht="15" x14ac:dyDescent="0.2">
      <c r="B10" s="9"/>
      <c r="C10" s="10" t="s">
        <v>49</v>
      </c>
      <c r="D10" s="77">
        <v>7.0000000000000007E-2</v>
      </c>
      <c r="E10" s="44"/>
    </row>
    <row r="11" spans="2:5" s="1" customFormat="1" ht="15" x14ac:dyDescent="0.2">
      <c r="B11" s="9"/>
      <c r="C11" s="10" t="s">
        <v>48</v>
      </c>
      <c r="D11" s="73">
        <v>0</v>
      </c>
      <c r="E11" s="44"/>
    </row>
    <row r="12" spans="2:5" s="1" customFormat="1" ht="15" x14ac:dyDescent="0.2">
      <c r="B12" s="9"/>
      <c r="C12" s="10" t="s">
        <v>50</v>
      </c>
      <c r="D12" s="73">
        <v>-0.05</v>
      </c>
      <c r="E12" s="44"/>
    </row>
    <row r="13" spans="2:5" s="1" customFormat="1" ht="15" x14ac:dyDescent="0.2">
      <c r="B13" s="9"/>
      <c r="C13" s="10"/>
      <c r="D13" s="74"/>
      <c r="E13" s="46"/>
    </row>
    <row r="14" spans="2:5" s="1" customFormat="1" ht="15" x14ac:dyDescent="0.2">
      <c r="B14" s="9"/>
      <c r="C14" s="49" t="s">
        <v>51</v>
      </c>
      <c r="D14" s="74"/>
      <c r="E14" s="46"/>
    </row>
    <row r="15" spans="2:5" s="1" customFormat="1" ht="15" x14ac:dyDescent="0.2">
      <c r="B15" s="9"/>
      <c r="C15" s="10" t="s">
        <v>52</v>
      </c>
      <c r="D15" s="72">
        <v>0.3</v>
      </c>
      <c r="E15" s="46"/>
    </row>
    <row r="16" spans="2:5" s="1" customFormat="1" ht="15" x14ac:dyDescent="0.2">
      <c r="B16" s="9"/>
      <c r="C16" s="10" t="s">
        <v>20</v>
      </c>
      <c r="D16" s="74">
        <v>2</v>
      </c>
      <c r="E16" s="46"/>
    </row>
    <row r="17" spans="2:5" s="1" customFormat="1" ht="15" x14ac:dyDescent="0.2">
      <c r="B17" s="9"/>
      <c r="C17" s="10" t="s">
        <v>36</v>
      </c>
      <c r="D17" s="72">
        <v>0.08</v>
      </c>
      <c r="E17" s="46"/>
    </row>
    <row r="18" spans="2:5" s="1" customFormat="1" ht="15" customHeight="1" thickBot="1" x14ac:dyDescent="0.25">
      <c r="B18" s="12"/>
      <c r="C18" s="13"/>
      <c r="D18" s="13"/>
      <c r="E18" s="14"/>
    </row>
    <row r="19" spans="2:5" s="1" customFormat="1" ht="15" x14ac:dyDescent="0.2"/>
    <row r="20" spans="2:5" s="1" customFormat="1" ht="15" x14ac:dyDescent="0.2">
      <c r="C20" s="2" t="s">
        <v>2</v>
      </c>
    </row>
    <row r="21" spans="2:5" s="1" customFormat="1" ht="15.75" thickBot="1" x14ac:dyDescent="0.25">
      <c r="C21" s="3"/>
    </row>
    <row r="22" spans="2:5" s="1" customFormat="1" ht="15" x14ac:dyDescent="0.2">
      <c r="B22" s="15"/>
      <c r="C22" s="16"/>
      <c r="D22" s="16"/>
      <c r="E22" s="17"/>
    </row>
    <row r="23" spans="2:5" s="1" customFormat="1" ht="15" x14ac:dyDescent="0.2">
      <c r="B23" s="18"/>
      <c r="C23" s="50" t="s">
        <v>53</v>
      </c>
      <c r="D23" s="38"/>
      <c r="E23" s="54"/>
    </row>
    <row r="24" spans="2:5" s="1" customFormat="1" ht="15" x14ac:dyDescent="0.2">
      <c r="B24" s="18"/>
      <c r="C24" s="20" t="s">
        <v>171</v>
      </c>
      <c r="D24" s="36">
        <f>D8*(1+D10)/(D7-D10)</f>
        <v>53.499999999999993</v>
      </c>
      <c r="E24" s="54"/>
    </row>
    <row r="25" spans="2:5" s="1" customFormat="1" ht="15.75" x14ac:dyDescent="0.25">
      <c r="B25" s="18"/>
      <c r="C25" s="20" t="s">
        <v>172</v>
      </c>
      <c r="D25" s="139">
        <f>D8*(1+D10)/D24</f>
        <v>7.0000000000000007E-2</v>
      </c>
      <c r="E25" s="54"/>
    </row>
    <row r="26" spans="2:5" s="1" customFormat="1" ht="15.75" x14ac:dyDescent="0.25">
      <c r="B26" s="18"/>
      <c r="C26" s="20" t="s">
        <v>173</v>
      </c>
      <c r="D26" s="140">
        <f>D7-D25</f>
        <v>7.0000000000000007E-2</v>
      </c>
      <c r="E26" s="54"/>
    </row>
    <row r="27" spans="2:5" s="1" customFormat="1" ht="15.75" x14ac:dyDescent="0.25">
      <c r="B27" s="18"/>
      <c r="C27" s="20"/>
      <c r="D27" s="51"/>
      <c r="E27" s="54"/>
    </row>
    <row r="28" spans="2:5" s="1" customFormat="1" ht="15" x14ac:dyDescent="0.2">
      <c r="B28" s="18"/>
      <c r="C28" s="20" t="s">
        <v>174</v>
      </c>
      <c r="D28" s="36">
        <f>D8/(D7-D11)</f>
        <v>24.999999999999996</v>
      </c>
      <c r="E28" s="47"/>
    </row>
    <row r="29" spans="2:5" s="1" customFormat="1" ht="15.75" x14ac:dyDescent="0.25">
      <c r="B29" s="18"/>
      <c r="C29" s="20" t="s">
        <v>172</v>
      </c>
      <c r="D29" s="84">
        <f>D8*(1+D11)/D28</f>
        <v>0.14000000000000001</v>
      </c>
      <c r="E29" s="47"/>
    </row>
    <row r="30" spans="2:5" s="1" customFormat="1" ht="15.75" x14ac:dyDescent="0.25">
      <c r="B30" s="18"/>
      <c r="C30" s="20" t="s">
        <v>173</v>
      </c>
      <c r="D30" s="85">
        <f>D7-D29</f>
        <v>0</v>
      </c>
      <c r="E30" s="47"/>
    </row>
    <row r="31" spans="2:5" s="1" customFormat="1" ht="15.75" x14ac:dyDescent="0.25">
      <c r="B31" s="18"/>
      <c r="C31" s="20"/>
      <c r="D31" s="52"/>
      <c r="E31" s="47"/>
    </row>
    <row r="32" spans="2:5" s="1" customFormat="1" ht="15" x14ac:dyDescent="0.2">
      <c r="B32" s="18"/>
      <c r="C32" s="20" t="s">
        <v>175</v>
      </c>
      <c r="D32" s="36">
        <f>D8*(1+D12)/(D7-D12)</f>
        <v>17.5</v>
      </c>
      <c r="E32" s="47"/>
    </row>
    <row r="33" spans="2:7" s="1" customFormat="1" ht="15.75" x14ac:dyDescent="0.25">
      <c r="B33" s="18"/>
      <c r="C33" s="20" t="s">
        <v>172</v>
      </c>
      <c r="D33" s="85">
        <f>D8*(1+D12)/D32</f>
        <v>0.18999999999999997</v>
      </c>
      <c r="E33" s="47"/>
    </row>
    <row r="34" spans="2:7" s="1" customFormat="1" ht="15.75" x14ac:dyDescent="0.25">
      <c r="B34" s="18"/>
      <c r="C34" s="20" t="s">
        <v>173</v>
      </c>
      <c r="D34" s="85">
        <f>D7-D33</f>
        <v>-4.9999999999999961E-2</v>
      </c>
      <c r="E34" s="47"/>
    </row>
    <row r="35" spans="2:7" s="1" customFormat="1" ht="15.75" x14ac:dyDescent="0.25">
      <c r="B35" s="18"/>
      <c r="C35" s="20"/>
      <c r="D35" s="52"/>
      <c r="E35" s="47"/>
    </row>
    <row r="36" spans="2:7" s="1" customFormat="1" ht="15" x14ac:dyDescent="0.2">
      <c r="B36" s="18"/>
      <c r="C36" s="20" t="s">
        <v>176</v>
      </c>
      <c r="D36" s="36">
        <f>D8*(1+D15)^D16*(1+D17)/(D7-D17)</f>
        <v>106.47</v>
      </c>
      <c r="E36" s="47"/>
    </row>
    <row r="37" spans="2:7" s="1" customFormat="1" ht="15" x14ac:dyDescent="0.2">
      <c r="B37" s="18"/>
      <c r="C37" s="20" t="s">
        <v>177</v>
      </c>
      <c r="D37" s="37">
        <f>D8*(1+D15)/(1+D7)+D8*(1+D15)^D16/(1+D7)^D16+D36/(1+D7)^2</f>
        <v>90.467836257309926</v>
      </c>
      <c r="E37" s="47"/>
    </row>
    <row r="38" spans="2:7" s="1" customFormat="1" ht="15.75" x14ac:dyDescent="0.25">
      <c r="B38" s="18"/>
      <c r="C38" s="20" t="s">
        <v>172</v>
      </c>
      <c r="D38" s="30">
        <f>D8*(1+D15)/D37</f>
        <v>5.0294117647058829E-2</v>
      </c>
      <c r="E38" s="47"/>
    </row>
    <row r="39" spans="2:7" s="1" customFormat="1" ht="15.75" x14ac:dyDescent="0.25">
      <c r="B39" s="18"/>
      <c r="C39" s="20" t="s">
        <v>173</v>
      </c>
      <c r="D39" s="30">
        <f>D7-D38</f>
        <v>8.9705882352941191E-2</v>
      </c>
      <c r="E39" s="47"/>
    </row>
    <row r="40" spans="2:7" s="1" customFormat="1" ht="15" customHeight="1" thickBot="1" x14ac:dyDescent="0.25">
      <c r="B40" s="24"/>
      <c r="C40" s="25"/>
      <c r="D40" s="25"/>
      <c r="E40" s="26"/>
    </row>
    <row r="41" spans="2:7" s="1" customFormat="1" ht="15.75" thickBot="1" x14ac:dyDescent="0.25"/>
    <row r="42" spans="2:7" s="1" customFormat="1" ht="15" x14ac:dyDescent="0.2">
      <c r="B42" s="15"/>
      <c r="C42" s="16"/>
      <c r="D42" s="16"/>
      <c r="E42" s="16"/>
      <c r="F42" s="16"/>
      <c r="G42" s="16"/>
    </row>
    <row r="43" spans="2:7" s="1" customFormat="1" ht="15" x14ac:dyDescent="0.2">
      <c r="B43" s="18"/>
      <c r="C43" s="20" t="s">
        <v>54</v>
      </c>
      <c r="D43" s="20"/>
      <c r="E43" s="20"/>
      <c r="F43" s="20"/>
      <c r="G43" s="20"/>
    </row>
    <row r="44" spans="2:7" s="1" customFormat="1" ht="15" x14ac:dyDescent="0.2">
      <c r="B44" s="18"/>
      <c r="C44" s="20" t="s">
        <v>55</v>
      </c>
      <c r="D44" s="20"/>
      <c r="E44" s="20"/>
      <c r="F44" s="20"/>
      <c r="G44" s="20"/>
    </row>
    <row r="45" spans="2:7" s="1" customFormat="1" ht="15" x14ac:dyDescent="0.2">
      <c r="B45" s="18"/>
      <c r="C45" s="20" t="s">
        <v>56</v>
      </c>
      <c r="D45" s="20"/>
      <c r="E45" s="20"/>
      <c r="F45" s="20"/>
      <c r="G45" s="20"/>
    </row>
    <row r="46" spans="2:7" s="1" customFormat="1" ht="15" x14ac:dyDescent="0.2">
      <c r="B46" s="18"/>
      <c r="C46" s="20" t="s">
        <v>57</v>
      </c>
      <c r="D46" s="20"/>
      <c r="E46" s="20"/>
      <c r="F46" s="20"/>
      <c r="G46" s="20"/>
    </row>
    <row r="47" spans="2:7" s="1" customFormat="1" ht="15" x14ac:dyDescent="0.2">
      <c r="B47" s="18"/>
      <c r="C47" s="20" t="s">
        <v>58</v>
      </c>
      <c r="D47" s="20"/>
      <c r="E47" s="20"/>
      <c r="F47" s="20"/>
      <c r="G47" s="20"/>
    </row>
    <row r="48" spans="2:7" s="1" customFormat="1" ht="15" x14ac:dyDescent="0.2">
      <c r="B48" s="18"/>
      <c r="C48" s="20" t="s">
        <v>59</v>
      </c>
      <c r="D48" s="20"/>
      <c r="E48" s="20"/>
      <c r="F48" s="20"/>
      <c r="G48" s="20"/>
    </row>
    <row r="49" spans="2:7" s="1" customFormat="1" ht="15.75" thickBot="1" x14ac:dyDescent="0.25">
      <c r="B49" s="24"/>
      <c r="C49" s="25"/>
      <c r="D49" s="25"/>
      <c r="E49" s="25"/>
      <c r="F49" s="25"/>
      <c r="G49" s="25"/>
    </row>
    <row r="50" spans="2:7" s="1" customFormat="1" ht="15" x14ac:dyDescent="0.2"/>
    <row r="51" spans="2: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5"/>
  <dimension ref="B1:E2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5703125" bestFit="1" customWidth="1"/>
    <col min="4" max="4" width="14.425781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123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3.6</v>
      </c>
      <c r="E7" s="11"/>
    </row>
    <row r="8" spans="2:5" s="1" customFormat="1" ht="15" x14ac:dyDescent="0.2">
      <c r="B8" s="9"/>
      <c r="C8" s="10" t="s">
        <v>5</v>
      </c>
      <c r="D8" s="77">
        <v>4.4999999999999998E-2</v>
      </c>
      <c r="E8" s="11"/>
    </row>
    <row r="9" spans="2:5" s="1" customFormat="1" ht="15" x14ac:dyDescent="0.2">
      <c r="B9" s="9"/>
      <c r="C9" s="10" t="s">
        <v>6</v>
      </c>
      <c r="D9" s="77">
        <v>0.11</v>
      </c>
      <c r="E9" s="11"/>
    </row>
    <row r="10" spans="2:5" s="1" customFormat="1" ht="15" x14ac:dyDescent="0.2">
      <c r="B10" s="9"/>
      <c r="C10" s="10"/>
      <c r="D10" s="74"/>
      <c r="E10" s="11"/>
    </row>
    <row r="11" spans="2:5" s="1" customFormat="1" ht="15" x14ac:dyDescent="0.2">
      <c r="B11" s="9"/>
      <c r="C11" s="10" t="s">
        <v>61</v>
      </c>
      <c r="D11" s="74">
        <v>4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.75" x14ac:dyDescent="0.25">
      <c r="B17" s="82" t="s">
        <v>70</v>
      </c>
      <c r="C17" s="19" t="s">
        <v>152</v>
      </c>
      <c r="D17" s="28">
        <f>(D7*(1+D8))/(D9-D8)</f>
        <v>57.876923076923077</v>
      </c>
      <c r="E17" s="34"/>
    </row>
    <row r="18" spans="2:5" s="1" customFormat="1" ht="15.75" x14ac:dyDescent="0.25">
      <c r="B18" s="82"/>
      <c r="C18" s="19"/>
      <c r="D18" s="55"/>
      <c r="E18" s="34"/>
    </row>
    <row r="19" spans="2:5" s="1" customFormat="1" ht="15" x14ac:dyDescent="0.2">
      <c r="B19" s="82" t="s">
        <v>71</v>
      </c>
      <c r="C19" s="20" t="s">
        <v>178</v>
      </c>
      <c r="D19" s="94">
        <f>D7*(1+D8)/D11</f>
        <v>0.9405</v>
      </c>
      <c r="E19" s="47"/>
    </row>
    <row r="20" spans="2:5" s="1" customFormat="1" ht="15" x14ac:dyDescent="0.2">
      <c r="B20" s="82"/>
      <c r="C20" s="20" t="s">
        <v>179</v>
      </c>
      <c r="D20" s="53">
        <f>(1+D9)^(1/D11)-1</f>
        <v>2.6433327247938676E-2</v>
      </c>
      <c r="E20" s="47"/>
    </row>
    <row r="21" spans="2:5" s="1" customFormat="1" ht="15" x14ac:dyDescent="0.2">
      <c r="B21" s="18"/>
      <c r="C21" s="20" t="s">
        <v>180</v>
      </c>
      <c r="D21" s="36">
        <f>FV(D20,D11,-D19)</f>
        <v>3.9138092238489555</v>
      </c>
      <c r="E21" s="47"/>
    </row>
    <row r="22" spans="2:5" s="1" customFormat="1" ht="15" x14ac:dyDescent="0.2">
      <c r="B22" s="18"/>
      <c r="C22" s="20"/>
      <c r="D22" s="22"/>
      <c r="E22" s="47"/>
    </row>
    <row r="23" spans="2:5" s="1" customFormat="1" ht="15.75" x14ac:dyDescent="0.25">
      <c r="B23" s="18"/>
      <c r="C23" s="20" t="s">
        <v>155</v>
      </c>
      <c r="D23" s="23">
        <f>D21/(D9-D8)</f>
        <v>60.212449597676233</v>
      </c>
      <c r="E23" s="47"/>
    </row>
    <row r="24" spans="2:5" s="1" customFormat="1" ht="15" customHeight="1" thickBot="1" x14ac:dyDescent="0.25">
      <c r="B24" s="24"/>
      <c r="C24" s="25"/>
      <c r="D24" s="25"/>
      <c r="E24" s="26"/>
    </row>
    <row r="25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111"/>
  <dimension ref="B1:G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7109375" customWidth="1"/>
    <col min="4" max="4" width="13.140625" customWidth="1"/>
    <col min="5" max="5" width="3.140625" customWidth="1"/>
    <col min="6" max="6" width="13.140625" customWidth="1"/>
    <col min="7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255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  <c r="E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6</v>
      </c>
      <c r="D7" s="81">
        <v>0.13</v>
      </c>
      <c r="E7" s="43"/>
    </row>
    <row r="8" spans="2:5" s="1" customFormat="1" ht="15" x14ac:dyDescent="0.2">
      <c r="B8" s="9"/>
      <c r="C8" s="10" t="s">
        <v>47</v>
      </c>
      <c r="D8" s="71">
        <v>3.4</v>
      </c>
      <c r="E8" s="44"/>
    </row>
    <row r="9" spans="2:5" s="1" customFormat="1" ht="15" x14ac:dyDescent="0.2">
      <c r="B9" s="9"/>
      <c r="C9" s="10"/>
      <c r="D9" s="77"/>
      <c r="E9" s="45"/>
    </row>
    <row r="10" spans="2:5" s="1" customFormat="1" ht="15" x14ac:dyDescent="0.2">
      <c r="B10" s="9"/>
      <c r="C10" s="10" t="s">
        <v>62</v>
      </c>
      <c r="D10" s="73">
        <v>0.2</v>
      </c>
      <c r="E10" s="44"/>
    </row>
    <row r="11" spans="2:5" s="1" customFormat="1" ht="15" x14ac:dyDescent="0.2">
      <c r="B11" s="9"/>
      <c r="C11" s="10" t="s">
        <v>63</v>
      </c>
      <c r="D11" s="73">
        <v>0.15</v>
      </c>
      <c r="E11" s="44"/>
    </row>
    <row r="12" spans="2:5" s="1" customFormat="1" ht="15" x14ac:dyDescent="0.2">
      <c r="B12" s="9"/>
      <c r="C12" s="10" t="s">
        <v>64</v>
      </c>
      <c r="D12" s="73">
        <v>0.1</v>
      </c>
      <c r="E12" s="44"/>
    </row>
    <row r="13" spans="2:5" s="1" customFormat="1" ht="15" x14ac:dyDescent="0.2">
      <c r="B13" s="9"/>
      <c r="C13" s="10" t="s">
        <v>72</v>
      </c>
      <c r="D13" s="73">
        <v>0.05</v>
      </c>
      <c r="E13" s="44"/>
    </row>
    <row r="14" spans="2:5" s="1" customFormat="1" ht="15" customHeight="1" thickBot="1" x14ac:dyDescent="0.25">
      <c r="B14" s="12"/>
      <c r="C14" s="13"/>
      <c r="D14" s="13"/>
      <c r="E14" s="14"/>
    </row>
    <row r="15" spans="2:5" s="1" customFormat="1" ht="15" x14ac:dyDescent="0.2"/>
    <row r="16" spans="2:5" s="1" customFormat="1" ht="15" x14ac:dyDescent="0.2">
      <c r="C16" s="2" t="s">
        <v>2</v>
      </c>
    </row>
    <row r="17" spans="2:7" s="1" customFormat="1" ht="15.75" thickBot="1" x14ac:dyDescent="0.25">
      <c r="C17" s="3"/>
    </row>
    <row r="18" spans="2:7" s="1" customFormat="1" ht="15" x14ac:dyDescent="0.2">
      <c r="B18" s="15"/>
      <c r="C18" s="16"/>
      <c r="D18" s="16"/>
      <c r="E18" s="17"/>
    </row>
    <row r="19" spans="2:7" s="1" customFormat="1" ht="15" x14ac:dyDescent="0.2">
      <c r="B19" s="18"/>
      <c r="C19" s="20" t="s">
        <v>181</v>
      </c>
      <c r="D19" s="117">
        <f>(D8*(1+D10)*(1+D11)*(1+D12)*(1+D13))/(D7-D13)</f>
        <v>67.740750000000006</v>
      </c>
      <c r="E19" s="21"/>
    </row>
    <row r="20" spans="2:7" s="1" customFormat="1" ht="15" x14ac:dyDescent="0.2">
      <c r="B20" s="18"/>
      <c r="C20" s="20"/>
      <c r="D20" s="20"/>
      <c r="E20" s="21"/>
    </row>
    <row r="21" spans="2:7" s="1" customFormat="1" ht="15.75" x14ac:dyDescent="0.25">
      <c r="B21" s="18"/>
      <c r="C21" s="20" t="s">
        <v>155</v>
      </c>
      <c r="D21" s="23">
        <f>D8*(1+D10)/(1+D7)+D8*(1+D10)*(1+D11)/(1+D7)^2+D8*(1+D10)*(1+D11)*(1+D12)/(1+D7)^3+(D19/(1+D7)^3)</f>
        <v>57.809851985276865</v>
      </c>
      <c r="E21" s="54"/>
    </row>
    <row r="22" spans="2:7" s="1" customFormat="1" ht="16.5" thickBot="1" x14ac:dyDescent="0.3">
      <c r="B22" s="24"/>
      <c r="C22" s="25"/>
      <c r="D22" s="56"/>
      <c r="E22" s="57"/>
    </row>
    <row r="23" spans="2:7" s="1" customFormat="1" ht="15.75" thickBot="1" x14ac:dyDescent="0.25"/>
    <row r="24" spans="2:7" s="1" customFormat="1" ht="15" x14ac:dyDescent="0.2">
      <c r="B24" s="15"/>
      <c r="C24" s="16"/>
      <c r="D24" s="16"/>
      <c r="E24" s="16"/>
      <c r="F24" s="16"/>
      <c r="G24" s="17"/>
    </row>
    <row r="25" spans="2:7" s="1" customFormat="1" ht="15" x14ac:dyDescent="0.2">
      <c r="B25" s="18"/>
      <c r="C25" s="20" t="s">
        <v>256</v>
      </c>
      <c r="D25" s="20"/>
      <c r="E25" s="20"/>
      <c r="F25" s="20"/>
      <c r="G25" s="21"/>
    </row>
    <row r="26" spans="2:7" s="1" customFormat="1" ht="15" x14ac:dyDescent="0.2">
      <c r="B26" s="18"/>
      <c r="C26" s="20" t="s">
        <v>257</v>
      </c>
      <c r="D26" s="20"/>
      <c r="E26" s="20"/>
      <c r="F26" s="20"/>
      <c r="G26" s="21"/>
    </row>
    <row r="27" spans="2:7" s="1" customFormat="1" ht="15" x14ac:dyDescent="0.2">
      <c r="B27" s="18"/>
      <c r="C27" s="20" t="s">
        <v>76</v>
      </c>
      <c r="D27" s="20"/>
      <c r="E27" s="20"/>
      <c r="F27" s="20"/>
      <c r="G27" s="21"/>
    </row>
    <row r="28" spans="2:7" s="1" customFormat="1" ht="15.75" thickBot="1" x14ac:dyDescent="0.25">
      <c r="B28" s="24"/>
      <c r="C28" s="25"/>
      <c r="D28" s="25"/>
      <c r="E28" s="25"/>
      <c r="F28" s="25"/>
      <c r="G28" s="26"/>
    </row>
    <row r="29" spans="2:7" s="1" customFormat="1" ht="15" x14ac:dyDescent="0.2"/>
    <row r="30" spans="2: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F40" sqref="F40"/>
    </sheetView>
  </sheetViews>
  <sheetFormatPr defaultRowHeight="12.75" x14ac:dyDescent="0.2"/>
  <cols>
    <col min="1" max="1" width="2.28515625" customWidth="1"/>
    <col min="2" max="2" width="6.28515625" customWidth="1"/>
    <col min="3" max="3" width="13.7109375" bestFit="1" customWidth="1"/>
    <col min="4" max="4" width="14.28515625" bestFit="1" customWidth="1"/>
    <col min="5" max="5" width="11.42578125" bestFit="1" customWidth="1"/>
    <col min="6" max="6" width="7.42578125" bestFit="1" customWidth="1"/>
    <col min="7" max="7" width="6" customWidth="1"/>
  </cols>
  <sheetData>
    <row r="1" spans="1:5" x14ac:dyDescent="0.2">
      <c r="A1" s="141" t="s">
        <v>229</v>
      </c>
    </row>
    <row r="2" spans="1:5" x14ac:dyDescent="0.2">
      <c r="A2" s="141" t="s">
        <v>258</v>
      </c>
    </row>
    <row r="3" spans="1:5" x14ac:dyDescent="0.2">
      <c r="A3" s="141" t="s">
        <v>259</v>
      </c>
    </row>
    <row r="4" spans="1:5" x14ac:dyDescent="0.2">
      <c r="A4" s="141" t="s">
        <v>230</v>
      </c>
    </row>
    <row r="5" spans="1:5" x14ac:dyDescent="0.2">
      <c r="A5" s="141" t="s">
        <v>231</v>
      </c>
    </row>
    <row r="6" spans="1:5" x14ac:dyDescent="0.2">
      <c r="A6" s="141"/>
      <c r="B6" t="s">
        <v>232</v>
      </c>
    </row>
    <row r="7" spans="1:5" x14ac:dyDescent="0.2">
      <c r="A7" s="141"/>
      <c r="B7" t="s">
        <v>260</v>
      </c>
    </row>
    <row r="8" spans="1:5" x14ac:dyDescent="0.2">
      <c r="A8" s="141"/>
      <c r="B8" t="s">
        <v>261</v>
      </c>
    </row>
    <row r="9" spans="1:5" x14ac:dyDescent="0.2">
      <c r="A9" s="141" t="s">
        <v>233</v>
      </c>
    </row>
    <row r="10" spans="1:5" x14ac:dyDescent="0.2">
      <c r="B10" t="s">
        <v>234</v>
      </c>
    </row>
    <row r="11" spans="1:5" x14ac:dyDescent="0.2">
      <c r="B11" t="s">
        <v>235</v>
      </c>
    </row>
    <row r="12" spans="1:5" x14ac:dyDescent="0.2">
      <c r="B12" t="s">
        <v>236</v>
      </c>
    </row>
    <row r="14" spans="1:5" ht="13.5" thickBot="1" x14ac:dyDescent="0.25">
      <c r="A14" t="s">
        <v>237</v>
      </c>
    </row>
    <row r="15" spans="1:5" ht="13.5" thickBot="1" x14ac:dyDescent="0.25">
      <c r="B15" s="145" t="s">
        <v>238</v>
      </c>
      <c r="C15" s="145" t="s">
        <v>239</v>
      </c>
      <c r="D15" s="145" t="s">
        <v>240</v>
      </c>
      <c r="E15" s="145" t="s">
        <v>241</v>
      </c>
    </row>
    <row r="16" spans="1:5" ht="13.5" thickBot="1" x14ac:dyDescent="0.25">
      <c r="B16" s="142" t="s">
        <v>249</v>
      </c>
      <c r="C16" s="142" t="s">
        <v>155</v>
      </c>
      <c r="D16" s="143">
        <v>57.809899999999999</v>
      </c>
      <c r="E16" s="143">
        <v>62.4</v>
      </c>
    </row>
    <row r="19" spans="1:7" ht="13.5" thickBot="1" x14ac:dyDescent="0.25">
      <c r="A19" t="s">
        <v>242</v>
      </c>
    </row>
    <row r="20" spans="1:7" ht="13.5" thickBot="1" x14ac:dyDescent="0.25">
      <c r="B20" s="145" t="s">
        <v>238</v>
      </c>
      <c r="C20" s="145" t="s">
        <v>239</v>
      </c>
      <c r="D20" s="145" t="s">
        <v>240</v>
      </c>
      <c r="E20" s="145" t="s">
        <v>241</v>
      </c>
      <c r="F20" s="145" t="s">
        <v>243</v>
      </c>
    </row>
    <row r="21" spans="1:7" ht="13.5" thickBot="1" x14ac:dyDescent="0.25">
      <c r="B21" s="142" t="s">
        <v>250</v>
      </c>
      <c r="C21" s="142" t="s">
        <v>6</v>
      </c>
      <c r="D21" s="144">
        <v>0.13</v>
      </c>
      <c r="E21" s="144">
        <v>0.12417576019454461</v>
      </c>
      <c r="F21" s="142" t="s">
        <v>251</v>
      </c>
    </row>
    <row r="24" spans="1:7" ht="13.5" thickBot="1" x14ac:dyDescent="0.25">
      <c r="A24" t="s">
        <v>244</v>
      </c>
    </row>
    <row r="25" spans="1:7" ht="13.5" thickBot="1" x14ac:dyDescent="0.25">
      <c r="B25" s="145" t="s">
        <v>238</v>
      </c>
      <c r="C25" s="145" t="s">
        <v>239</v>
      </c>
      <c r="D25" s="145" t="s">
        <v>245</v>
      </c>
      <c r="E25" s="145" t="s">
        <v>246</v>
      </c>
      <c r="F25" s="145" t="s">
        <v>247</v>
      </c>
      <c r="G25" s="145" t="s">
        <v>248</v>
      </c>
    </row>
    <row r="26" spans="1:7" ht="13.5" thickBot="1" x14ac:dyDescent="0.25">
      <c r="B26" s="142" t="s">
        <v>249</v>
      </c>
      <c r="C26" s="142" t="s">
        <v>155</v>
      </c>
      <c r="D26" s="143">
        <v>62.4</v>
      </c>
      <c r="E26" s="142" t="s">
        <v>262</v>
      </c>
      <c r="F26" s="142" t="s">
        <v>252</v>
      </c>
      <c r="G26" s="142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workbookViewId="0">
      <selection activeCell="C2" sqref="C2"/>
    </sheetView>
  </sheetViews>
  <sheetFormatPr defaultRowHeight="12.75" x14ac:dyDescent="0.2"/>
  <cols>
    <col min="1" max="1" width="9.140625" style="174"/>
    <col min="2" max="2" width="3.140625" style="174" customWidth="1"/>
    <col min="3" max="3" width="40.5703125" style="174" bestFit="1" customWidth="1"/>
    <col min="4" max="4" width="18.85546875" style="174" bestFit="1" customWidth="1"/>
    <col min="5" max="5" width="3.140625" style="174" customWidth="1"/>
    <col min="6" max="16384" width="9.140625" style="174"/>
  </cols>
  <sheetData>
    <row r="1" spans="2:5" s="146" customFormat="1" ht="18" x14ac:dyDescent="0.25">
      <c r="C1" s="147" t="s">
        <v>189</v>
      </c>
    </row>
    <row r="2" spans="2:5" s="146" customFormat="1" ht="15" x14ac:dyDescent="0.2">
      <c r="C2" s="146" t="s">
        <v>191</v>
      </c>
    </row>
    <row r="3" spans="2:5" s="146" customFormat="1" ht="15" x14ac:dyDescent="0.2"/>
    <row r="4" spans="2:5" s="146" customFormat="1" ht="15" x14ac:dyDescent="0.2">
      <c r="C4" s="148" t="s">
        <v>1</v>
      </c>
    </row>
    <row r="5" spans="2:5" s="146" customFormat="1" ht="15.75" thickBot="1" x14ac:dyDescent="0.25">
      <c r="C5" s="149"/>
      <c r="D5" s="150"/>
    </row>
    <row r="6" spans="2:5" s="146" customFormat="1" ht="15" x14ac:dyDescent="0.2">
      <c r="B6" s="151"/>
      <c r="C6" s="152"/>
      <c r="D6" s="153"/>
      <c r="E6" s="154"/>
    </row>
    <row r="7" spans="2:5" s="146" customFormat="1" ht="15" x14ac:dyDescent="0.2">
      <c r="B7" s="155"/>
      <c r="C7" s="156" t="s">
        <v>138</v>
      </c>
      <c r="D7" s="102">
        <v>8.1999999999999993</v>
      </c>
      <c r="E7" s="157"/>
    </row>
    <row r="8" spans="2:5" s="146" customFormat="1" ht="15" x14ac:dyDescent="0.2">
      <c r="B8" s="155"/>
      <c r="C8" s="156" t="s">
        <v>139</v>
      </c>
      <c r="D8" s="102">
        <v>1.95</v>
      </c>
      <c r="E8" s="157"/>
    </row>
    <row r="9" spans="2:5" s="146" customFormat="1" ht="15" x14ac:dyDescent="0.2">
      <c r="B9" s="155"/>
      <c r="C9" s="156" t="s">
        <v>140</v>
      </c>
      <c r="D9" s="93">
        <v>2.75</v>
      </c>
      <c r="E9" s="157"/>
    </row>
    <row r="10" spans="2:5" s="146" customFormat="1" ht="15" x14ac:dyDescent="0.2">
      <c r="B10" s="155"/>
      <c r="C10" s="156" t="s">
        <v>141</v>
      </c>
      <c r="D10" s="102">
        <v>3.05</v>
      </c>
      <c r="E10" s="157"/>
    </row>
    <row r="11" spans="2:5" s="146" customFormat="1" ht="15" x14ac:dyDescent="0.2">
      <c r="B11" s="155"/>
      <c r="C11" s="156" t="s">
        <v>6</v>
      </c>
      <c r="D11" s="72">
        <v>0.12</v>
      </c>
      <c r="E11" s="157"/>
    </row>
    <row r="12" spans="2:5" s="146" customFormat="1" ht="15" customHeight="1" thickBot="1" x14ac:dyDescent="0.25">
      <c r="B12" s="158"/>
      <c r="C12" s="159"/>
      <c r="D12" s="159"/>
      <c r="E12" s="160"/>
    </row>
    <row r="13" spans="2:5" s="146" customFormat="1" ht="15" x14ac:dyDescent="0.2"/>
    <row r="14" spans="2:5" s="146" customFormat="1" ht="15" x14ac:dyDescent="0.2">
      <c r="C14" s="148" t="s">
        <v>2</v>
      </c>
    </row>
    <row r="15" spans="2:5" s="146" customFormat="1" ht="15.75" thickBot="1" x14ac:dyDescent="0.25">
      <c r="C15" s="149"/>
    </row>
    <row r="16" spans="2:5" s="146" customFormat="1" ht="15" x14ac:dyDescent="0.2">
      <c r="B16" s="161"/>
      <c r="C16" s="162"/>
      <c r="D16" s="162"/>
      <c r="E16" s="163"/>
    </row>
    <row r="17" spans="2:5" s="146" customFormat="1" ht="15.75" x14ac:dyDescent="0.25">
      <c r="B17" s="164" t="s">
        <v>118</v>
      </c>
      <c r="C17" s="165" t="s">
        <v>121</v>
      </c>
      <c r="D17" s="166">
        <f>D7/D11</f>
        <v>68.333333333333329</v>
      </c>
      <c r="E17" s="167"/>
    </row>
    <row r="18" spans="2:5" s="146" customFormat="1" ht="15" x14ac:dyDescent="0.2">
      <c r="B18" s="164"/>
      <c r="C18" s="165"/>
      <c r="D18" s="165"/>
      <c r="E18" s="167"/>
    </row>
    <row r="19" spans="2:5" s="146" customFormat="1" ht="15" x14ac:dyDescent="0.2">
      <c r="B19" s="164" t="s">
        <v>117</v>
      </c>
      <c r="C19" s="165" t="s">
        <v>144</v>
      </c>
      <c r="D19" s="168">
        <f>D8/(1+D11)</f>
        <v>1.7410714285714284</v>
      </c>
      <c r="E19" s="167"/>
    </row>
    <row r="20" spans="2:5" s="146" customFormat="1" ht="15" x14ac:dyDescent="0.2">
      <c r="B20" s="164"/>
      <c r="C20" s="165" t="s">
        <v>142</v>
      </c>
      <c r="D20" s="169">
        <f>D9/((1+D11)^2)</f>
        <v>2.1922831632653059</v>
      </c>
      <c r="E20" s="167"/>
    </row>
    <row r="21" spans="2:5" s="146" customFormat="1" ht="15" x14ac:dyDescent="0.2">
      <c r="B21" s="164"/>
      <c r="C21" s="165" t="s">
        <v>143</v>
      </c>
      <c r="D21" s="169">
        <f>D10/((1+D11)^3)</f>
        <v>2.1709297558309029</v>
      </c>
      <c r="E21" s="167"/>
    </row>
    <row r="22" spans="2:5" s="146" customFormat="1" ht="15" x14ac:dyDescent="0.2">
      <c r="B22" s="164"/>
      <c r="C22" s="165"/>
      <c r="D22" s="169"/>
      <c r="E22" s="167"/>
    </row>
    <row r="23" spans="2:5" s="146" customFormat="1" ht="15" x14ac:dyDescent="0.2">
      <c r="B23" s="164"/>
      <c r="C23" s="165" t="s">
        <v>124</v>
      </c>
      <c r="D23" s="169">
        <f>-D19+D20+D21</f>
        <v>2.6221414905247804</v>
      </c>
      <c r="E23" s="167"/>
    </row>
    <row r="24" spans="2:5" s="146" customFormat="1" ht="15" x14ac:dyDescent="0.2">
      <c r="B24" s="164"/>
      <c r="C24" s="170"/>
      <c r="D24" s="53"/>
      <c r="E24" s="34"/>
    </row>
    <row r="25" spans="2:5" s="146" customFormat="1" ht="15.75" x14ac:dyDescent="0.25">
      <c r="B25" s="164"/>
      <c r="C25" s="170" t="s">
        <v>122</v>
      </c>
      <c r="D25" s="28">
        <f>D17+D23</f>
        <v>70.955474823858111</v>
      </c>
      <c r="E25" s="34"/>
    </row>
    <row r="26" spans="2:5" s="146" customFormat="1" ht="15.75" x14ac:dyDescent="0.25">
      <c r="B26" s="164"/>
      <c r="C26" s="170"/>
      <c r="D26" s="55"/>
      <c r="E26" s="34"/>
    </row>
    <row r="27" spans="2:5" s="146" customFormat="1" ht="15.75" x14ac:dyDescent="0.25">
      <c r="B27" s="164" t="s">
        <v>120</v>
      </c>
      <c r="C27" s="170" t="s">
        <v>145</v>
      </c>
      <c r="D27" s="28">
        <f>D17</f>
        <v>68.333333333333329</v>
      </c>
      <c r="E27" s="34"/>
    </row>
    <row r="28" spans="2:5" s="146" customFormat="1" ht="15" customHeight="1" thickBot="1" x14ac:dyDescent="0.25">
      <c r="B28" s="171"/>
      <c r="C28" s="172"/>
      <c r="D28" s="172"/>
      <c r="E28" s="173"/>
    </row>
    <row r="29" spans="2:5" s="146" customFormat="1" ht="15" x14ac:dyDescent="0.2"/>
    <row r="30" spans="2:5" s="146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43"/>
  <dimension ref="B1:F3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4" bestFit="1" customWidth="1"/>
    <col min="5" max="5" width="18.85546875" bestFit="1" customWidth="1"/>
    <col min="6" max="6" width="3.140625" customWidth="1"/>
  </cols>
  <sheetData>
    <row r="1" spans="2:6" s="1" customFormat="1" ht="18" x14ac:dyDescent="0.25">
      <c r="C1" s="86" t="s">
        <v>189</v>
      </c>
      <c r="D1" s="86"/>
    </row>
    <row r="2" spans="2:6" s="1" customFormat="1" ht="15" x14ac:dyDescent="0.2">
      <c r="C2" s="1" t="s">
        <v>190</v>
      </c>
    </row>
    <row r="3" spans="2:6" s="1" customFormat="1" ht="15" x14ac:dyDescent="0.2"/>
    <row r="4" spans="2:6" s="1" customFormat="1" ht="15" x14ac:dyDescent="0.2">
      <c r="C4" s="2" t="s">
        <v>1</v>
      </c>
      <c r="D4" s="2"/>
    </row>
    <row r="5" spans="2:6" s="1" customFormat="1" ht="15.75" thickBot="1" x14ac:dyDescent="0.25">
      <c r="C5" s="3"/>
      <c r="D5" s="3"/>
      <c r="E5" s="4"/>
    </row>
    <row r="6" spans="2:6" s="1" customFormat="1" ht="15" x14ac:dyDescent="0.2">
      <c r="B6" s="5"/>
      <c r="C6" s="6"/>
      <c r="D6" s="6"/>
      <c r="E6" s="7"/>
      <c r="F6" s="8"/>
    </row>
    <row r="7" spans="2:6" s="1" customFormat="1" ht="15" x14ac:dyDescent="0.2">
      <c r="B7" s="9"/>
      <c r="C7" s="10" t="s">
        <v>125</v>
      </c>
      <c r="D7" s="10"/>
      <c r="E7" s="105">
        <v>21000000</v>
      </c>
      <c r="F7" s="11"/>
    </row>
    <row r="8" spans="2:6" s="1" customFormat="1" ht="15" x14ac:dyDescent="0.2">
      <c r="B8" s="9"/>
      <c r="C8" s="10" t="s">
        <v>126</v>
      </c>
      <c r="D8" s="10"/>
      <c r="E8" s="72">
        <v>0.05</v>
      </c>
      <c r="F8" s="11"/>
    </row>
    <row r="9" spans="2:6" s="1" customFormat="1" ht="15" x14ac:dyDescent="0.2">
      <c r="B9" s="9"/>
      <c r="C9" s="10" t="s">
        <v>127</v>
      </c>
      <c r="D9" s="10"/>
      <c r="E9" s="89">
        <v>2</v>
      </c>
      <c r="F9" s="11"/>
    </row>
    <row r="10" spans="2:6" s="1" customFormat="1" ht="15" x14ac:dyDescent="0.2">
      <c r="B10" s="9"/>
      <c r="C10" s="10" t="s">
        <v>128</v>
      </c>
      <c r="D10" s="10"/>
      <c r="E10" s="72">
        <v>0.3</v>
      </c>
      <c r="F10" s="11"/>
    </row>
    <row r="11" spans="2:6" s="1" customFormat="1" ht="15" x14ac:dyDescent="0.2">
      <c r="B11" s="9"/>
      <c r="C11" s="10" t="s">
        <v>129</v>
      </c>
      <c r="D11" s="10"/>
      <c r="E11" s="106">
        <v>6700000</v>
      </c>
      <c r="F11" s="11"/>
    </row>
    <row r="12" spans="2:6" s="1" customFormat="1" ht="15" x14ac:dyDescent="0.2">
      <c r="B12" s="9"/>
      <c r="C12" s="10" t="s">
        <v>114</v>
      </c>
      <c r="D12" s="10"/>
      <c r="E12" s="89">
        <v>7500000</v>
      </c>
      <c r="F12" s="11"/>
    </row>
    <row r="13" spans="2:6" s="1" customFormat="1" ht="15" x14ac:dyDescent="0.2">
      <c r="B13" s="9"/>
      <c r="C13" s="10" t="s">
        <v>6</v>
      </c>
      <c r="D13" s="10"/>
      <c r="E13" s="72">
        <v>0.1</v>
      </c>
      <c r="F13" s="11"/>
    </row>
    <row r="14" spans="2:6" s="1" customFormat="1" ht="15" customHeight="1" thickBot="1" x14ac:dyDescent="0.25">
      <c r="B14" s="12"/>
      <c r="C14" s="13"/>
      <c r="D14" s="13"/>
      <c r="E14" s="13"/>
      <c r="F14" s="14"/>
    </row>
    <row r="15" spans="2:6" s="1" customFormat="1" ht="15" x14ac:dyDescent="0.2"/>
    <row r="16" spans="2:6" s="1" customFormat="1" ht="15" x14ac:dyDescent="0.2">
      <c r="C16" s="2" t="s">
        <v>2</v>
      </c>
      <c r="D16" s="2"/>
    </row>
    <row r="17" spans="2:6" s="1" customFormat="1" ht="15.75" thickBot="1" x14ac:dyDescent="0.25">
      <c r="C17" s="3"/>
      <c r="D17" s="3"/>
    </row>
    <row r="18" spans="2:6" s="1" customFormat="1" ht="15" x14ac:dyDescent="0.2">
      <c r="B18" s="15"/>
      <c r="C18" s="16"/>
      <c r="D18" s="16"/>
      <c r="E18" s="16"/>
      <c r="F18" s="17"/>
    </row>
    <row r="19" spans="2:6" s="1" customFormat="1" ht="15" x14ac:dyDescent="0.2">
      <c r="B19" s="18"/>
      <c r="C19" s="20" t="s">
        <v>130</v>
      </c>
      <c r="D19" s="20"/>
      <c r="E19" s="113">
        <f>(E7/E12)*(1+E8)</f>
        <v>2.94</v>
      </c>
      <c r="F19" s="21"/>
    </row>
    <row r="20" spans="2:6" s="1" customFormat="1" ht="15" x14ac:dyDescent="0.2">
      <c r="B20" s="18"/>
      <c r="C20" s="20" t="s">
        <v>131</v>
      </c>
      <c r="D20" s="20"/>
      <c r="E20" s="114">
        <f>E19/(E13-E8)</f>
        <v>58.8</v>
      </c>
      <c r="F20" s="21"/>
    </row>
    <row r="21" spans="2:6" s="1" customFormat="1" ht="15" x14ac:dyDescent="0.2">
      <c r="B21" s="18"/>
      <c r="C21" s="20" t="s">
        <v>132</v>
      </c>
      <c r="D21" s="20"/>
      <c r="E21" s="115">
        <f>(E7/E12)*((1+E8)^E9)</f>
        <v>3.0869999999999997</v>
      </c>
      <c r="F21" s="21"/>
    </row>
    <row r="22" spans="2:6" s="1" customFormat="1" ht="15" x14ac:dyDescent="0.2">
      <c r="B22" s="18"/>
      <c r="C22" s="20" t="s">
        <v>133</v>
      </c>
      <c r="D22" s="112">
        <f>E9</f>
        <v>2</v>
      </c>
      <c r="E22" s="91">
        <f>E21*E10</f>
        <v>0.92609999999999992</v>
      </c>
      <c r="F22" s="21"/>
    </row>
    <row r="23" spans="2:6" s="1" customFormat="1" ht="15" x14ac:dyDescent="0.2">
      <c r="B23" s="18"/>
      <c r="C23" s="20" t="s">
        <v>134</v>
      </c>
      <c r="D23" s="112"/>
      <c r="E23" s="91">
        <f>E11/E12</f>
        <v>0.89333333333333331</v>
      </c>
      <c r="F23" s="21"/>
    </row>
    <row r="24" spans="2:6" s="1" customFormat="1" ht="15" x14ac:dyDescent="0.2">
      <c r="B24" s="18"/>
      <c r="C24" s="20" t="s">
        <v>135</v>
      </c>
      <c r="D24" s="112">
        <f>E9</f>
        <v>2</v>
      </c>
      <c r="E24" s="91">
        <f>E23/E13</f>
        <v>8.9333333333333318</v>
      </c>
      <c r="F24" s="21"/>
    </row>
    <row r="25" spans="2:6" s="1" customFormat="1" ht="15" x14ac:dyDescent="0.2">
      <c r="B25" s="18"/>
      <c r="C25" s="20" t="s">
        <v>136</v>
      </c>
      <c r="D25" s="112">
        <f>D24</f>
        <v>2</v>
      </c>
      <c r="E25" s="91">
        <f>E24-E22</f>
        <v>8.0072333333333319</v>
      </c>
      <c r="F25" s="21"/>
    </row>
    <row r="26" spans="2:6" s="1" customFormat="1" ht="15" x14ac:dyDescent="0.2">
      <c r="B26" s="18"/>
      <c r="C26" s="20" t="s">
        <v>137</v>
      </c>
      <c r="D26" s="111"/>
      <c r="E26" s="91">
        <f>E25/((1+E13)^E9)</f>
        <v>6.6175482093663893</v>
      </c>
      <c r="F26" s="21"/>
    </row>
    <row r="27" spans="2:6" s="1" customFormat="1" ht="15" x14ac:dyDescent="0.2">
      <c r="B27" s="18"/>
      <c r="C27" s="20"/>
      <c r="D27" s="111"/>
      <c r="E27" s="20"/>
      <c r="F27" s="21"/>
    </row>
    <row r="28" spans="2:6" s="1" customFormat="1" ht="15.75" x14ac:dyDescent="0.25">
      <c r="B28" s="18"/>
      <c r="C28" s="20" t="s">
        <v>11</v>
      </c>
      <c r="D28" s="20"/>
      <c r="E28" s="110">
        <f>E20+E26</f>
        <v>65.417548209366387</v>
      </c>
      <c r="F28" s="21"/>
    </row>
    <row r="29" spans="2:6" s="1" customFormat="1" ht="15" customHeight="1" thickBot="1" x14ac:dyDescent="0.25">
      <c r="B29" s="24"/>
      <c r="C29" s="25"/>
      <c r="D29" s="25"/>
      <c r="E29" s="25"/>
      <c r="F29" s="26"/>
    </row>
    <row r="30" spans="2:6" s="1" customFormat="1" ht="15" x14ac:dyDescent="0.2"/>
    <row r="31" spans="2:6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11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customWidth="1"/>
    <col min="4" max="4" width="15.140625" customWidth="1"/>
    <col min="5" max="5" width="3.140625" customWidth="1"/>
    <col min="6" max="6" width="10" customWidth="1"/>
    <col min="7" max="7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5">
        <f>'#2'!D7</f>
        <v>2.9</v>
      </c>
      <c r="E7" s="11"/>
    </row>
    <row r="8" spans="2:5" s="1" customFormat="1" ht="15" x14ac:dyDescent="0.2">
      <c r="B8" s="9"/>
      <c r="C8" s="10" t="s">
        <v>5</v>
      </c>
      <c r="D8" s="76">
        <f>'#2'!D8</f>
        <v>5.5E-2</v>
      </c>
      <c r="E8" s="11"/>
    </row>
    <row r="9" spans="2:5" s="1" customFormat="1" ht="15" x14ac:dyDescent="0.2">
      <c r="B9" s="9"/>
      <c r="C9" s="10" t="s">
        <v>6</v>
      </c>
      <c r="D9" s="75">
        <f>'#2'!D9</f>
        <v>53.1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150</v>
      </c>
      <c r="D15" s="32">
        <f>D7/D9</f>
        <v>5.4613935969868167E-2</v>
      </c>
      <c r="E15" s="21"/>
    </row>
    <row r="16" spans="2:5" s="1" customFormat="1" ht="15.75" x14ac:dyDescent="0.25">
      <c r="B16" s="18"/>
      <c r="C16" s="19"/>
      <c r="D16" s="31"/>
      <c r="E16" s="21"/>
    </row>
    <row r="17" spans="2:5" s="1" customFormat="1" ht="15.75" x14ac:dyDescent="0.25">
      <c r="B17" s="18"/>
      <c r="C17" s="29" t="s">
        <v>151</v>
      </c>
      <c r="D17" s="33">
        <f>D8</f>
        <v>5.5E-2</v>
      </c>
      <c r="E17" s="21"/>
    </row>
    <row r="18" spans="2:5" s="1" customFormat="1" ht="15" customHeight="1" thickBot="1" x14ac:dyDescent="0.25">
      <c r="B18" s="24"/>
      <c r="C18" s="25"/>
      <c r="D18" s="25"/>
      <c r="E18" s="26"/>
    </row>
    <row r="1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6" width="10.140625" customWidth="1"/>
    <col min="7" max="7" width="13.42578125" customWidth="1"/>
    <col min="8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8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2.75</v>
      </c>
      <c r="E7" s="11"/>
    </row>
    <row r="8" spans="2:5" s="1" customFormat="1" ht="15" x14ac:dyDescent="0.2">
      <c r="B8" s="9"/>
      <c r="C8" s="10" t="s">
        <v>5</v>
      </c>
      <c r="D8" s="81">
        <v>0.05</v>
      </c>
      <c r="E8" s="11"/>
    </row>
    <row r="9" spans="2:5" s="1" customFormat="1" ht="15" x14ac:dyDescent="0.2">
      <c r="B9" s="9"/>
      <c r="C9" s="10" t="s">
        <v>6</v>
      </c>
      <c r="D9" s="73">
        <v>0.11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152</v>
      </c>
      <c r="D15" s="28">
        <f>(D7)/(D9-D8)</f>
        <v>45.833333333333336</v>
      </c>
      <c r="E15" s="21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  <row r="18" s="1" customFormat="1" ht="15" x14ac:dyDescent="0.2"/>
    <row r="19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6" width="10.140625" customWidth="1"/>
    <col min="7" max="7" width="13.42578125" customWidth="1"/>
    <col min="8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9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5</v>
      </c>
      <c r="D7" s="77">
        <v>5.7000000000000002E-2</v>
      </c>
      <c r="E7" s="11"/>
    </row>
    <row r="8" spans="2:5" s="1" customFormat="1" ht="15" x14ac:dyDescent="0.2">
      <c r="B8" s="9"/>
      <c r="C8" s="10" t="s">
        <v>42</v>
      </c>
      <c r="D8" s="77">
        <v>4.5999999999999999E-2</v>
      </c>
      <c r="E8" s="11"/>
    </row>
    <row r="9" spans="2:5" s="1" customFormat="1" ht="15" customHeight="1" thickBot="1" x14ac:dyDescent="0.25">
      <c r="B9" s="12"/>
      <c r="C9" s="13"/>
      <c r="D9" s="13"/>
      <c r="E9" s="14"/>
    </row>
    <row r="10" spans="2:5" s="1" customFormat="1" ht="15" x14ac:dyDescent="0.2"/>
    <row r="11" spans="2:5" s="1" customFormat="1" ht="15" x14ac:dyDescent="0.2">
      <c r="C11" s="2" t="s">
        <v>2</v>
      </c>
    </row>
    <row r="12" spans="2:5" s="1" customFormat="1" ht="15.75" thickBot="1" x14ac:dyDescent="0.25">
      <c r="C12" s="3"/>
    </row>
    <row r="13" spans="2:5" s="1" customFormat="1" ht="15" x14ac:dyDescent="0.2">
      <c r="B13" s="15"/>
      <c r="C13" s="16"/>
      <c r="D13" s="16"/>
      <c r="E13" s="17"/>
    </row>
    <row r="14" spans="2:5" s="1" customFormat="1" ht="15.75" x14ac:dyDescent="0.25">
      <c r="B14" s="18"/>
      <c r="C14" s="19" t="s">
        <v>153</v>
      </c>
      <c r="D14" s="83">
        <f>D7+D8</f>
        <v>0.10300000000000001</v>
      </c>
      <c r="E14" s="21"/>
    </row>
    <row r="15" spans="2:5" s="1" customFormat="1" ht="15" customHeight="1" thickBot="1" x14ac:dyDescent="0.25">
      <c r="B15" s="24"/>
      <c r="C15" s="25"/>
      <c r="D15" s="25"/>
      <c r="E15" s="26"/>
    </row>
    <row r="1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6" width="14" customWidth="1"/>
    <col min="7" max="7" width="13.42578125" customWidth="1"/>
    <col min="8" max="8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11</v>
      </c>
      <c r="D7" s="78">
        <v>67</v>
      </c>
      <c r="E7" s="11"/>
    </row>
    <row r="8" spans="2:5" s="1" customFormat="1" ht="15" x14ac:dyDescent="0.2">
      <c r="B8" s="9"/>
      <c r="C8" s="10" t="s">
        <v>6</v>
      </c>
      <c r="D8" s="77">
        <v>0.108</v>
      </c>
      <c r="E8" s="11"/>
    </row>
    <row r="9" spans="2:5" s="1" customFormat="1" ht="15" customHeight="1" thickBot="1" x14ac:dyDescent="0.25">
      <c r="B9" s="12"/>
      <c r="C9" s="13"/>
      <c r="D9" s="13"/>
      <c r="E9" s="14"/>
    </row>
    <row r="10" spans="2:5" s="1" customFormat="1" ht="15" x14ac:dyDescent="0.2"/>
    <row r="11" spans="2:5" s="1" customFormat="1" ht="15" x14ac:dyDescent="0.2">
      <c r="C11" s="2" t="s">
        <v>2</v>
      </c>
    </row>
    <row r="12" spans="2:5" s="1" customFormat="1" ht="15.75" thickBot="1" x14ac:dyDescent="0.25">
      <c r="C12" s="3"/>
    </row>
    <row r="13" spans="2:5" s="1" customFormat="1" ht="15" x14ac:dyDescent="0.2">
      <c r="B13" s="15"/>
      <c r="C13" s="16"/>
      <c r="D13" s="16"/>
      <c r="E13" s="17"/>
    </row>
    <row r="14" spans="2:5" s="1" customFormat="1" ht="15" x14ac:dyDescent="0.2">
      <c r="B14" s="18"/>
      <c r="C14" s="20" t="s">
        <v>97</v>
      </c>
      <c r="D14" s="117">
        <f>(D8/2)*D7</f>
        <v>3.6179999999999999</v>
      </c>
      <c r="E14" s="21"/>
    </row>
    <row r="15" spans="2:5" s="1" customFormat="1" ht="15" x14ac:dyDescent="0.2">
      <c r="B15" s="18"/>
      <c r="C15" s="20"/>
      <c r="D15" s="20"/>
      <c r="E15" s="21"/>
    </row>
    <row r="16" spans="2:5" s="1" customFormat="1" ht="15.75" x14ac:dyDescent="0.25">
      <c r="B16" s="18"/>
      <c r="C16" s="19" t="s">
        <v>154</v>
      </c>
      <c r="D16" s="23">
        <f>D14/(1+D8/2)</f>
        <v>3.4326375711574948</v>
      </c>
      <c r="E16" s="21"/>
    </row>
    <row r="17" spans="2:5" s="1" customFormat="1" ht="15" customHeight="1" thickBot="1" x14ac:dyDescent="0.25">
      <c r="B17" s="24"/>
      <c r="C17" s="25"/>
      <c r="D17" s="25"/>
      <c r="E17" s="26"/>
    </row>
    <row r="18" spans="2:5" s="1" customFormat="1" ht="15" x14ac:dyDescent="0.2"/>
    <row r="1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"/>
  <dimension ref="B1:E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6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12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14</v>
      </c>
      <c r="D7" s="78">
        <v>9</v>
      </c>
      <c r="E7" s="11"/>
    </row>
    <row r="8" spans="2:5" s="1" customFormat="1" ht="15" x14ac:dyDescent="0.2">
      <c r="B8" s="9"/>
      <c r="C8" s="10" t="s">
        <v>13</v>
      </c>
      <c r="D8" s="79">
        <v>13</v>
      </c>
      <c r="E8" s="11"/>
    </row>
    <row r="9" spans="2:5" s="1" customFormat="1" ht="15" x14ac:dyDescent="0.2">
      <c r="B9" s="9"/>
      <c r="C9" s="10" t="s">
        <v>6</v>
      </c>
      <c r="D9" s="77">
        <v>9.5000000000000001E-2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155</v>
      </c>
      <c r="D15" s="28">
        <f>PV(D9,D8,-D7)</f>
        <v>65.620597792704089</v>
      </c>
      <c r="E15" s="34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  <row r="18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6.140625" customWidth="1"/>
    <col min="5" max="5" width="3.140625" customWidth="1"/>
  </cols>
  <sheetData>
    <row r="1" spans="2:5" s="1" customFormat="1" ht="18" x14ac:dyDescent="0.25">
      <c r="C1" s="86" t="s">
        <v>189</v>
      </c>
    </row>
    <row r="2" spans="2:5" s="1" customFormat="1" ht="15" x14ac:dyDescent="0.2">
      <c r="C2" s="1" t="s">
        <v>15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14</v>
      </c>
      <c r="D7" s="78">
        <v>4.5</v>
      </c>
      <c r="E7" s="11"/>
    </row>
    <row r="8" spans="2:5" s="1" customFormat="1" ht="15" x14ac:dyDescent="0.2">
      <c r="B8" s="9"/>
      <c r="C8" s="10" t="s">
        <v>16</v>
      </c>
      <c r="D8" s="80">
        <v>87</v>
      </c>
      <c r="E8" s="11"/>
    </row>
    <row r="9" spans="2:5" s="1" customFormat="1" ht="15" customHeight="1" thickBot="1" x14ac:dyDescent="0.25">
      <c r="B9" s="12"/>
      <c r="C9" s="13"/>
      <c r="D9" s="13"/>
      <c r="E9" s="14"/>
    </row>
    <row r="10" spans="2:5" s="1" customFormat="1" ht="15" x14ac:dyDescent="0.2"/>
    <row r="11" spans="2:5" s="1" customFormat="1" ht="15" x14ac:dyDescent="0.2">
      <c r="C11" s="2" t="s">
        <v>2</v>
      </c>
    </row>
    <row r="12" spans="2:5" s="1" customFormat="1" ht="15.75" thickBot="1" x14ac:dyDescent="0.25">
      <c r="C12" s="3"/>
    </row>
    <row r="13" spans="2:5" s="1" customFormat="1" ht="15" x14ac:dyDescent="0.2">
      <c r="B13" s="15"/>
      <c r="C13" s="16"/>
      <c r="D13" s="16"/>
      <c r="E13" s="17"/>
    </row>
    <row r="14" spans="2:5" s="1" customFormat="1" ht="15.75" x14ac:dyDescent="0.25">
      <c r="B14" s="18"/>
      <c r="C14" s="19" t="s">
        <v>149</v>
      </c>
      <c r="D14" s="30">
        <f>D7/D8</f>
        <v>5.1724137931034482E-2</v>
      </c>
      <c r="E14" s="34"/>
    </row>
    <row r="15" spans="2:5" s="1" customFormat="1" ht="15" customHeight="1" thickBot="1" x14ac:dyDescent="0.25">
      <c r="B15" s="24"/>
      <c r="C15" s="25"/>
      <c r="D15" s="25"/>
      <c r="E15" s="26"/>
    </row>
    <row r="1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Chapter 9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#31,32</vt:lpstr>
      <vt:lpstr>#32 Answer Report</vt:lpstr>
      <vt:lpstr>#33</vt:lpstr>
      <vt:lpstr>#34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2011-10-19T16:12:54Z</cp:lastPrinted>
  <dcterms:created xsi:type="dcterms:W3CDTF">2002-04-24T16:34:19Z</dcterms:created>
  <dcterms:modified xsi:type="dcterms:W3CDTF">2015-10-09T22:44:22Z</dcterms:modified>
</cp:coreProperties>
</file>