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reese\Documents\Finance 6020 (MBA core)\RWJJ 13th Solutions\"/>
    </mc:Choice>
  </mc:AlternateContent>
  <bookViews>
    <workbookView xWindow="0" yWindow="0" windowWidth="28800" windowHeight="12135"/>
  </bookViews>
  <sheets>
    <sheet name="Chapter 4" sheetId="10" r:id="rId1"/>
    <sheet name="Section 4.2" sheetId="1" r:id="rId2"/>
    <sheet name="Section 4.3" sheetId="11" r:id="rId3"/>
    <sheet name="Section 4.4" sheetId="12" r:id="rId4"/>
    <sheet name="Section 4.5" sheetId="17" r:id="rId5"/>
    <sheet name="Loan Amortization Schedule " sheetId="18" r:id="rId6"/>
    <sheet name="Master It!" sheetId="15" r:id="rId7"/>
    <sheet name="Solution" sheetId="16" r:id="rId8"/>
  </sheets>
  <definedNames>
    <definedName name="Beg_Bal">'Loan Amortization Schedule '!$C$18:$C$497</definedName>
    <definedName name="Cum_Int" localSheetId="5">'Loan Amortization Schedule '!$J$18:$J$497</definedName>
    <definedName name="Cum_Int">#REF!</definedName>
    <definedName name="Data" localSheetId="5">'Loan Amortization Schedule '!$A$18:$J$497</definedName>
    <definedName name="Data">#REF!</definedName>
    <definedName name="End_Bal">'Loan Amortization Schedule '!$I$18:$I$497</definedName>
    <definedName name="Extra_Pay">'Loan Amortization Schedule '!$E$18:$E$497</definedName>
    <definedName name="Full_Print">'Loan Amortization Schedule '!$A$1:$J$497</definedName>
    <definedName name="Header_Row">ROW('Loan Amortization Schedule '!$17:$17)</definedName>
    <definedName name="Int">'Loan Amortization Schedule '!$H$18:$H$497</definedName>
    <definedName name="Interest_Rate">'Loan Amortization Schedule '!$D$6</definedName>
    <definedName name="Last_Row" localSheetId="5">IF('Loan Amortization Schedule '!Values_Entered,Header_Row+'Loan Amortization Schedule '!Number_of_Payments,Header_Row)</definedName>
    <definedName name="Last_Row" localSheetId="3">IF('Section 4.4'!Values_Entered,Header_Row+'Section 4.4'!Number_of_Payments,Header_Row)</definedName>
    <definedName name="Last_Row" localSheetId="4">IF('Section 4.5'!Values_Entered,Header_Row+'Section 4.5'!Number_of_Payments,Header_Row)</definedName>
    <definedName name="Last_Row">IF('Section 4.4'!Values_Entered,Header_Row+'Section 4.4'!Number_of_Payments,Header_Row)</definedName>
    <definedName name="Loan_Amount">'Loan Amortization Schedule '!$D$5</definedName>
    <definedName name="Loan_Start">'Loan Amortization Schedule '!$D$9</definedName>
    <definedName name="Loan_Years">'Loan Amortization Schedule '!$D$7</definedName>
    <definedName name="Num_Pmt_Per_Year">'Loan Amortization Schedule '!$D$8</definedName>
    <definedName name="Number_of_Payments" localSheetId="5">MATCH(0.01,End_Bal,-1)+1</definedName>
    <definedName name="Number_of_Payments" localSheetId="3">MATCH(0.01,End_Bal,-1)+1</definedName>
    <definedName name="Number_of_Payments" localSheetId="4">MATCH(0.01,End_Bal,-1)+1</definedName>
    <definedName name="Number_of_Payments">MATCH(0.01,End_Bal,-1)+1</definedName>
    <definedName name="Pay_Date" localSheetId="5">'Loan Amortization Schedule '!$B$18:$B$497</definedName>
    <definedName name="Pay_Date">#REF!</definedName>
    <definedName name="Pay_Num">'Loan Amortization Schedule '!$A$18:$A$497</definedName>
    <definedName name="Payment_Date" localSheetId="5">DATE(YEAR(Loan_Start),MONTH(Loan_Start)+Payment_Number,DAY(Loan_Start))</definedName>
    <definedName name="Payment_Date" localSheetId="3">DATE(YEAR(Loan_Start),MONTH(Loan_Start)+Payment_Number,DAY(Loan_Start))</definedName>
    <definedName name="Payment_Date" localSheetId="4">DATE(YEAR(Loan_Start),MONTH(Loan_Start)+Payment_Number,DAY(Loan_Start))</definedName>
    <definedName name="Payment_Date">DATE(YEAR(Loan_Start),MONTH(Loan_Start)+Payment_Number,DAY(Loan_Start))</definedName>
    <definedName name="Princ">'Loan Amortization Schedule '!$G$18:$G$497</definedName>
    <definedName name="_xlnm.Print_Area" localSheetId="5">OFFSET(Full_Print,0,0,'Loan Amortization Schedule '!Last_Row)</definedName>
    <definedName name="Print_Area_Reset" localSheetId="5">OFFSET(Full_Print,0,0,'Loan Amortization Schedule '!Last_Row)</definedName>
    <definedName name="Print_Area_Reset" localSheetId="3">OFFSET(Full_Print,0,0,'Section 4.4'!Last_Row)</definedName>
    <definedName name="Print_Area_Reset" localSheetId="4">OFFSET(Full_Print,0,0,'Section 4.5'!Last_Row)</definedName>
    <definedName name="Print_Area_Reset">OFFSET(Full_Print,0,0,Last_Row)</definedName>
    <definedName name="_xlnm.Print_Titles" localSheetId="5">'Loan Amortization Schedule '!$14:$17</definedName>
    <definedName name="Sched_Pay">'Loan Amortization Schedule '!$D$18:$D$497</definedName>
    <definedName name="Scheduled_Extra_Payments">'Loan Amortization Schedule '!$D$10</definedName>
    <definedName name="Scheduled_Interest_Rate" localSheetId="5">'Loan Amortization Schedule '!$D$6</definedName>
    <definedName name="Scheduled_Interest_Rate">#REF!</definedName>
    <definedName name="Scheduled_Monthly_Payment">'Loan Amortization Schedule '!$J$5</definedName>
    <definedName name="Total_Interest" localSheetId="5">'Loan Amortization Schedule '!$J$9</definedName>
    <definedName name="Total_Interest">#REF!</definedName>
    <definedName name="Total_Pay">'Loan Amortization Schedule '!$F$18:$F$497</definedName>
    <definedName name="Values_Entered" localSheetId="5">IF(Loan_Amount*Interest_Rate*Loan_Years*Loan_Start&gt;0,1,0)</definedName>
    <definedName name="Values_Entered" localSheetId="3">IF(Loan_Amount*Interest_Rate*Loan_Years*Loan_Start&gt;0,1,0)</definedName>
    <definedName name="Values_Entered" localSheetId="4">IF(Loan_Amount*Interest_Rate*Loan_Years*Loan_Start&gt;0,1,0)</definedName>
    <definedName name="Values_Entered">IF(Loan_Amount*Interest_Rate*Loan_Years*Loan_Start&gt;0,1,0)</definedName>
  </definedNames>
  <calcPr calcId="162913"/>
</workbook>
</file>

<file path=xl/calcChain.xml><?xml version="1.0" encoding="utf-8"?>
<calcChain xmlns="http://schemas.openxmlformats.org/spreadsheetml/2006/main">
  <c r="C72" i="11" l="1"/>
  <c r="D264" i="1"/>
  <c r="D118" i="1" l="1"/>
  <c r="E14" i="11" l="1"/>
  <c r="E42" i="11"/>
  <c r="A89" i="11"/>
  <c r="C72" i="1" l="1"/>
  <c r="D72" i="1" s="1"/>
  <c r="E72" i="1" s="1"/>
  <c r="F72" i="1" s="1"/>
  <c r="G72" i="1" s="1"/>
  <c r="G73" i="1"/>
  <c r="D426" i="1" l="1"/>
  <c r="C349" i="1"/>
  <c r="J5" i="18" l="1"/>
  <c r="J6" i="18"/>
  <c r="A18" i="18"/>
  <c r="A19" i="18" s="1"/>
  <c r="C18" i="18"/>
  <c r="B18" i="18" l="1"/>
  <c r="D19" i="18"/>
  <c r="A20" i="18"/>
  <c r="D20" i="18" s="1"/>
  <c r="D18" i="18"/>
  <c r="E18" i="18" s="1"/>
  <c r="H18" i="18"/>
  <c r="B19" i="18"/>
  <c r="B20" i="18" l="1"/>
  <c r="A21" i="18"/>
  <c r="J18" i="18"/>
  <c r="F18" i="18"/>
  <c r="G18" i="18" s="1"/>
  <c r="I18" i="18" s="1"/>
  <c r="A22" i="18" l="1"/>
  <c r="D21" i="18"/>
  <c r="B21" i="18"/>
  <c r="C19" i="18"/>
  <c r="B22" i="18" l="1"/>
  <c r="D22" i="18"/>
  <c r="A23" i="18"/>
  <c r="E19" i="18"/>
  <c r="H19" i="18"/>
  <c r="A24" i="18" l="1"/>
  <c r="B23" i="18"/>
  <c r="D23" i="18"/>
  <c r="J19" i="18"/>
  <c r="F19" i="18"/>
  <c r="G19" i="18" s="1"/>
  <c r="I19" i="18" s="1"/>
  <c r="D24" i="18" l="1"/>
  <c r="A25" i="18"/>
  <c r="B24" i="18"/>
  <c r="C20" i="18"/>
  <c r="D25" i="18" l="1"/>
  <c r="B25" i="18"/>
  <c r="A26" i="18"/>
  <c r="E20" i="18"/>
  <c r="H20" i="18"/>
  <c r="B26" i="18" l="1"/>
  <c r="A27" i="18"/>
  <c r="D26" i="18"/>
  <c r="J20" i="18"/>
  <c r="F20" i="18"/>
  <c r="G20" i="18" s="1"/>
  <c r="I20" i="18" s="1"/>
  <c r="A28" i="18" l="1"/>
  <c r="B27" i="18"/>
  <c r="D27" i="18"/>
  <c r="C21" i="18"/>
  <c r="D28" i="18" l="1"/>
  <c r="A29" i="18"/>
  <c r="B28" i="18"/>
  <c r="H21" i="18"/>
  <c r="E21" i="18"/>
  <c r="A30" i="18" l="1"/>
  <c r="D29" i="18"/>
  <c r="B29" i="18"/>
  <c r="F21" i="18"/>
  <c r="G21" i="18" s="1"/>
  <c r="I21" i="18" s="1"/>
  <c r="J21" i="18"/>
  <c r="B30" i="18" l="1"/>
  <c r="A31" i="18"/>
  <c r="D30" i="18"/>
  <c r="C22" i="18"/>
  <c r="D31" i="18" l="1"/>
  <c r="A32" i="18"/>
  <c r="B31" i="18"/>
  <c r="E22" i="18"/>
  <c r="H22" i="18"/>
  <c r="D32" i="18" l="1"/>
  <c r="A33" i="18"/>
  <c r="B32" i="18"/>
  <c r="J22" i="18"/>
  <c r="F22" i="18"/>
  <c r="G22" i="18" s="1"/>
  <c r="I22" i="18" s="1"/>
  <c r="D33" i="18" l="1"/>
  <c r="A34" i="18"/>
  <c r="B33" i="18"/>
  <c r="C23" i="18"/>
  <c r="A35" i="18" l="1"/>
  <c r="B34" i="18"/>
  <c r="D34" i="18"/>
  <c r="H23" i="18"/>
  <c r="E23" i="18"/>
  <c r="D35" i="18" l="1"/>
  <c r="A36" i="18"/>
  <c r="B35" i="18"/>
  <c r="F23" i="18"/>
  <c r="G23" i="18" s="1"/>
  <c r="I23" i="18" s="1"/>
  <c r="C24" i="18" s="1"/>
  <c r="J23" i="18"/>
  <c r="D36" i="18" l="1"/>
  <c r="B36" i="18"/>
  <c r="A37" i="18"/>
  <c r="H24" i="18"/>
  <c r="J24" i="18" s="1"/>
  <c r="E24" i="18"/>
  <c r="D37" i="18" l="1"/>
  <c r="A38" i="18"/>
  <c r="B37" i="18"/>
  <c r="F24" i="18"/>
  <c r="G24" i="18" s="1"/>
  <c r="I24" i="18" s="1"/>
  <c r="C25" i="18" s="1"/>
  <c r="B38" i="18" l="1"/>
  <c r="D38" i="18"/>
  <c r="A39" i="18"/>
  <c r="E25" i="18"/>
  <c r="H25" i="18"/>
  <c r="J25" i="18" s="1"/>
  <c r="B39" i="18" l="1"/>
  <c r="D39" i="18"/>
  <c r="A40" i="18"/>
  <c r="F25" i="18"/>
  <c r="G25" i="18" s="1"/>
  <c r="I25" i="18" s="1"/>
  <c r="C26" i="18" s="1"/>
  <c r="D40" i="18" l="1"/>
  <c r="A41" i="18"/>
  <c r="B40" i="18"/>
  <c r="H26" i="18"/>
  <c r="J26" i="18" s="1"/>
  <c r="E26" i="18"/>
  <c r="B41" i="18" l="1"/>
  <c r="A42" i="18"/>
  <c r="D41" i="18"/>
  <c r="F26" i="18"/>
  <c r="G26" i="18" s="1"/>
  <c r="I26" i="18" s="1"/>
  <c r="C27" i="18" s="1"/>
  <c r="A43" i="18" l="1"/>
  <c r="B42" i="18"/>
  <c r="D42" i="18"/>
  <c r="E27" i="18"/>
  <c r="H27" i="18"/>
  <c r="J27" i="18" s="1"/>
  <c r="B43" i="18" l="1"/>
  <c r="D43" i="18"/>
  <c r="A44" i="18"/>
  <c r="F27" i="18"/>
  <c r="G27" i="18" s="1"/>
  <c r="I27" i="18" s="1"/>
  <c r="C28" i="18" s="1"/>
  <c r="D44" i="18" l="1"/>
  <c r="A45" i="18"/>
  <c r="B44" i="18"/>
  <c r="H28" i="18"/>
  <c r="J28" i="18" s="1"/>
  <c r="E28" i="18"/>
  <c r="D45" i="18" l="1"/>
  <c r="A46" i="18"/>
  <c r="B45" i="18"/>
  <c r="F28" i="18"/>
  <c r="G28" i="18" s="1"/>
  <c r="I28" i="18" s="1"/>
  <c r="C29" i="18" s="1"/>
  <c r="A47" i="18" l="1"/>
  <c r="B46" i="18"/>
  <c r="D46" i="18"/>
  <c r="H29" i="18"/>
  <c r="J29" i="18" s="1"/>
  <c r="E29" i="18"/>
  <c r="D47" i="18" l="1"/>
  <c r="A48" i="18"/>
  <c r="B47" i="18"/>
  <c r="F29" i="18"/>
  <c r="G29" i="18" s="1"/>
  <c r="I29" i="18" s="1"/>
  <c r="C30" i="18" s="1"/>
  <c r="B48" i="18" l="1"/>
  <c r="A49" i="18"/>
  <c r="D48" i="18"/>
  <c r="H30" i="18"/>
  <c r="J30" i="18" s="1"/>
  <c r="E30" i="18"/>
  <c r="B49" i="18" l="1"/>
  <c r="D49" i="18"/>
  <c r="A50" i="18"/>
  <c r="F30" i="18"/>
  <c r="G30" i="18" s="1"/>
  <c r="I30" i="18" s="1"/>
  <c r="C31" i="18" s="1"/>
  <c r="D50" i="18" l="1"/>
  <c r="B50" i="18"/>
  <c r="A51" i="18"/>
  <c r="H31" i="18"/>
  <c r="J31" i="18" s="1"/>
  <c r="E31" i="18"/>
  <c r="B51" i="18" l="1"/>
  <c r="A52" i="18"/>
  <c r="D51" i="18"/>
  <c r="F31" i="18"/>
  <c r="G31" i="18" s="1"/>
  <c r="I31" i="18" s="1"/>
  <c r="C32" i="18" s="1"/>
  <c r="B52" i="18" l="1"/>
  <c r="D52" i="18"/>
  <c r="A53" i="18"/>
  <c r="H32" i="18"/>
  <c r="J32" i="18" s="1"/>
  <c r="E32" i="18"/>
  <c r="A54" i="18" l="1"/>
  <c r="D53" i="18"/>
  <c r="B53" i="18"/>
  <c r="F32" i="18"/>
  <c r="G32" i="18" s="1"/>
  <c r="I32" i="18" s="1"/>
  <c r="C33" i="18" s="1"/>
  <c r="B54" i="18" l="1"/>
  <c r="A55" i="18"/>
  <c r="D54" i="18"/>
  <c r="H33" i="18"/>
  <c r="J33" i="18" s="1"/>
  <c r="E33" i="18"/>
  <c r="A56" i="18" l="1"/>
  <c r="D55" i="18"/>
  <c r="B55" i="18"/>
  <c r="F33" i="18"/>
  <c r="G33" i="18" s="1"/>
  <c r="I33" i="18" s="1"/>
  <c r="C34" i="18" s="1"/>
  <c r="A57" i="18" l="1"/>
  <c r="D56" i="18"/>
  <c r="B56" i="18"/>
  <c r="H34" i="18"/>
  <c r="J34" i="18" s="1"/>
  <c r="E34" i="18"/>
  <c r="B57" i="18" l="1"/>
  <c r="D57" i="18"/>
  <c r="A58" i="18"/>
  <c r="F34" i="18"/>
  <c r="G34" i="18" s="1"/>
  <c r="I34" i="18" s="1"/>
  <c r="C35" i="18" s="1"/>
  <c r="A59" i="18" l="1"/>
  <c r="D58" i="18"/>
  <c r="B58" i="18"/>
  <c r="E35" i="18"/>
  <c r="H35" i="18"/>
  <c r="J35" i="18" s="1"/>
  <c r="B59" i="18" l="1"/>
  <c r="A60" i="18"/>
  <c r="D59" i="18"/>
  <c r="F35" i="18"/>
  <c r="G35" i="18" s="1"/>
  <c r="I35" i="18" s="1"/>
  <c r="C36" i="18" s="1"/>
  <c r="D60" i="18" l="1"/>
  <c r="B60" i="18"/>
  <c r="A61" i="18"/>
  <c r="H36" i="18"/>
  <c r="J36" i="18" s="1"/>
  <c r="E36" i="18"/>
  <c r="B61" i="18" l="1"/>
  <c r="D61" i="18"/>
  <c r="A62" i="18"/>
  <c r="F36" i="18"/>
  <c r="G36" i="18" s="1"/>
  <c r="I36" i="18" s="1"/>
  <c r="C37" i="18" s="1"/>
  <c r="D62" i="18" l="1"/>
  <c r="A63" i="18"/>
  <c r="B62" i="18"/>
  <c r="E37" i="18"/>
  <c r="H37" i="18"/>
  <c r="J37" i="18" s="1"/>
  <c r="D63" i="18" l="1"/>
  <c r="B63" i="18"/>
  <c r="A64" i="18"/>
  <c r="F37" i="18"/>
  <c r="G37" i="18" s="1"/>
  <c r="I37" i="18" s="1"/>
  <c r="C38" i="18" s="1"/>
  <c r="A65" i="18" l="1"/>
  <c r="D64" i="18"/>
  <c r="B64" i="18"/>
  <c r="E38" i="18"/>
  <c r="H38" i="18"/>
  <c r="J38" i="18" s="1"/>
  <c r="B65" i="18" l="1"/>
  <c r="D65" i="18"/>
  <c r="A66" i="18"/>
  <c r="F38" i="18"/>
  <c r="G38" i="18" s="1"/>
  <c r="I38" i="18" s="1"/>
  <c r="C39" i="18" s="1"/>
  <c r="D66" i="18" l="1"/>
  <c r="B66" i="18"/>
  <c r="A67" i="18"/>
  <c r="H39" i="18"/>
  <c r="J39" i="18" s="1"/>
  <c r="E39" i="18"/>
  <c r="B67" i="18" l="1"/>
  <c r="D67" i="18"/>
  <c r="A68" i="18"/>
  <c r="F39" i="18"/>
  <c r="G39" i="18" s="1"/>
  <c r="I39" i="18" s="1"/>
  <c r="C40" i="18" s="1"/>
  <c r="B68" i="18" l="1"/>
  <c r="A69" i="18"/>
  <c r="D68" i="18"/>
  <c r="E40" i="18"/>
  <c r="H40" i="18"/>
  <c r="J40" i="18" s="1"/>
  <c r="B69" i="18" l="1"/>
  <c r="A70" i="18"/>
  <c r="D69" i="18"/>
  <c r="F40" i="18"/>
  <c r="G40" i="18" s="1"/>
  <c r="I40" i="18" s="1"/>
  <c r="C41" i="18" s="1"/>
  <c r="B70" i="18" l="1"/>
  <c r="D70" i="18"/>
  <c r="A71" i="18"/>
  <c r="H41" i="18"/>
  <c r="J41" i="18" s="1"/>
  <c r="E41" i="18"/>
  <c r="A72" i="18" l="1"/>
  <c r="D71" i="18"/>
  <c r="B71" i="18"/>
  <c r="F41" i="18"/>
  <c r="G41" i="18" s="1"/>
  <c r="I41" i="18" s="1"/>
  <c r="C42" i="18" s="1"/>
  <c r="D72" i="18" l="1"/>
  <c r="A73" i="18"/>
  <c r="B72" i="18"/>
  <c r="H42" i="18"/>
  <c r="J42" i="18" s="1"/>
  <c r="E42" i="18"/>
  <c r="A74" i="18" l="1"/>
  <c r="D73" i="18"/>
  <c r="B73" i="18"/>
  <c r="F42" i="18"/>
  <c r="G42" i="18" s="1"/>
  <c r="I42" i="18" s="1"/>
  <c r="C43" i="18" s="1"/>
  <c r="A75" i="18" l="1"/>
  <c r="D74" i="18"/>
  <c r="B74" i="18"/>
  <c r="E43" i="18"/>
  <c r="H43" i="18"/>
  <c r="J43" i="18" s="1"/>
  <c r="B75" i="18" l="1"/>
  <c r="D75" i="18"/>
  <c r="A76" i="18"/>
  <c r="F43" i="18"/>
  <c r="G43" i="18" s="1"/>
  <c r="I43" i="18" s="1"/>
  <c r="C44" i="18" s="1"/>
  <c r="B76" i="18" l="1"/>
  <c r="A77" i="18"/>
  <c r="D76" i="18"/>
  <c r="H44" i="18"/>
  <c r="J44" i="18" s="1"/>
  <c r="E44" i="18"/>
  <c r="D77" i="18" l="1"/>
  <c r="B77" i="18"/>
  <c r="A78" i="18"/>
  <c r="F44" i="18"/>
  <c r="G44" i="18" s="1"/>
  <c r="I44" i="18" s="1"/>
  <c r="C45" i="18" s="1"/>
  <c r="D78" i="18" l="1"/>
  <c r="A79" i="18"/>
  <c r="B78" i="18"/>
  <c r="E45" i="18"/>
  <c r="H45" i="18"/>
  <c r="J45" i="18" s="1"/>
  <c r="A80" i="18" l="1"/>
  <c r="B79" i="18"/>
  <c r="D79" i="18"/>
  <c r="F45" i="18"/>
  <c r="G45" i="18" s="1"/>
  <c r="I45" i="18" s="1"/>
  <c r="C46" i="18" s="1"/>
  <c r="A81" i="18" l="1"/>
  <c r="D80" i="18"/>
  <c r="B80" i="18"/>
  <c r="H46" i="18"/>
  <c r="J46" i="18" s="1"/>
  <c r="E46" i="18"/>
  <c r="B81" i="18" l="1"/>
  <c r="D81" i="18"/>
  <c r="A82" i="18"/>
  <c r="F46" i="18"/>
  <c r="G46" i="18" s="1"/>
  <c r="I46" i="18" s="1"/>
  <c r="C47" i="18" s="1"/>
  <c r="A83" i="18" l="1"/>
  <c r="D82" i="18"/>
  <c r="B82" i="18"/>
  <c r="E47" i="18"/>
  <c r="H47" i="18"/>
  <c r="J47" i="18" s="1"/>
  <c r="E121" i="17"/>
  <c r="E113" i="17"/>
  <c r="E117" i="17" s="1"/>
  <c r="C54" i="17"/>
  <c r="D49" i="17"/>
  <c r="D68" i="17" s="1"/>
  <c r="C19" i="17"/>
  <c r="D14" i="17"/>
  <c r="F32" i="17" s="1"/>
  <c r="D274" i="12"/>
  <c r="D266" i="12"/>
  <c r="D270" i="12" s="1"/>
  <c r="E232" i="12"/>
  <c r="D220" i="12"/>
  <c r="D200" i="12"/>
  <c r="D190" i="12"/>
  <c r="D194" i="12" s="1"/>
  <c r="A84" i="18" l="1"/>
  <c r="D83" i="18"/>
  <c r="B83" i="18"/>
  <c r="F47" i="18"/>
  <c r="D55" i="17"/>
  <c r="D59" i="17"/>
  <c r="D63" i="17"/>
  <c r="D57" i="17"/>
  <c r="D61" i="17"/>
  <c r="F19" i="17"/>
  <c r="F21" i="17"/>
  <c r="F23" i="17"/>
  <c r="F25" i="17"/>
  <c r="F27" i="17"/>
  <c r="F29" i="17"/>
  <c r="F31" i="17"/>
  <c r="F33" i="17"/>
  <c r="E54" i="17"/>
  <c r="D65" i="17"/>
  <c r="D67" i="17"/>
  <c r="E19" i="17"/>
  <c r="F20" i="17"/>
  <c r="F22" i="17"/>
  <c r="F24" i="17"/>
  <c r="F26" i="17"/>
  <c r="F28" i="17"/>
  <c r="F30" i="17"/>
  <c r="D54" i="17"/>
  <c r="D56" i="17"/>
  <c r="D58" i="17"/>
  <c r="D60" i="17"/>
  <c r="D62" i="17"/>
  <c r="D64" i="17"/>
  <c r="D66" i="17"/>
  <c r="D84" i="18" l="1"/>
  <c r="B84" i="18"/>
  <c r="A85" i="18"/>
  <c r="G47" i="18"/>
  <c r="D69" i="17"/>
  <c r="F54" i="17"/>
  <c r="F34" i="17"/>
  <c r="D19" i="17"/>
  <c r="G19" i="17"/>
  <c r="C20" i="17" s="1"/>
  <c r="B85" i="18" l="1"/>
  <c r="D85" i="18"/>
  <c r="A86" i="18"/>
  <c r="I47" i="18"/>
  <c r="G20" i="17"/>
  <c r="C21" i="17" s="1"/>
  <c r="E20" i="17"/>
  <c r="G54" i="17"/>
  <c r="C55" i="17" s="1"/>
  <c r="B86" i="18" l="1"/>
  <c r="A87" i="18"/>
  <c r="D86" i="18"/>
  <c r="C48" i="18"/>
  <c r="G21" i="17"/>
  <c r="C22" i="17" s="1"/>
  <c r="E21" i="17"/>
  <c r="D21" i="17" s="1"/>
  <c r="E55" i="17"/>
  <c r="D20" i="17"/>
  <c r="A88" i="18" l="1"/>
  <c r="B87" i="18"/>
  <c r="D87" i="18"/>
  <c r="H48" i="18"/>
  <c r="J48" i="18" s="1"/>
  <c r="E48" i="18"/>
  <c r="G22" i="17"/>
  <c r="C23" i="17" s="1"/>
  <c r="E22" i="17"/>
  <c r="F55" i="17"/>
  <c r="B88" i="18" l="1"/>
  <c r="A89" i="18"/>
  <c r="D88" i="18"/>
  <c r="F48" i="18"/>
  <c r="G23" i="17"/>
  <c r="C24" i="17" s="1"/>
  <c r="E23" i="17"/>
  <c r="D23" i="17" s="1"/>
  <c r="G55" i="17"/>
  <c r="C56" i="17" s="1"/>
  <c r="D22" i="17"/>
  <c r="A90" i="18" l="1"/>
  <c r="D89" i="18"/>
  <c r="B89" i="18"/>
  <c r="G48" i="18"/>
  <c r="G24" i="17"/>
  <c r="C25" i="17" s="1"/>
  <c r="E24" i="17"/>
  <c r="E56" i="17"/>
  <c r="B90" i="18" l="1"/>
  <c r="D90" i="18"/>
  <c r="A91" i="18"/>
  <c r="I48" i="18"/>
  <c r="G25" i="17"/>
  <c r="C26" i="17" s="1"/>
  <c r="E25" i="17"/>
  <c r="D25" i="17" s="1"/>
  <c r="F56" i="17"/>
  <c r="D24" i="17"/>
  <c r="B91" i="18" l="1"/>
  <c r="A92" i="18"/>
  <c r="D91" i="18"/>
  <c r="C49" i="18"/>
  <c r="G56" i="17"/>
  <c r="C57" i="17" s="1"/>
  <c r="G26" i="17"/>
  <c r="C27" i="17" s="1"/>
  <c r="E26" i="17"/>
  <c r="D26" i="17" s="1"/>
  <c r="B92" i="18" l="1"/>
  <c r="A93" i="18"/>
  <c r="D92" i="18"/>
  <c r="H49" i="18"/>
  <c r="J49" i="18" s="1"/>
  <c r="E49" i="18"/>
  <c r="G27" i="17"/>
  <c r="C28" i="17" s="1"/>
  <c r="E27" i="17"/>
  <c r="D27" i="17" s="1"/>
  <c r="E57" i="17"/>
  <c r="B93" i="18" l="1"/>
  <c r="D93" i="18"/>
  <c r="A94" i="18"/>
  <c r="F49" i="18"/>
  <c r="G28" i="17"/>
  <c r="C29" i="17" s="1"/>
  <c r="E28" i="17"/>
  <c r="D28" i="17" s="1"/>
  <c r="F57" i="17"/>
  <c r="A95" i="18" l="1"/>
  <c r="B94" i="18"/>
  <c r="D94" i="18"/>
  <c r="G49" i="18"/>
  <c r="G57" i="17"/>
  <c r="C58" i="17" s="1"/>
  <c r="G29" i="17"/>
  <c r="C30" i="17" s="1"/>
  <c r="E29" i="17"/>
  <c r="D29" i="17" s="1"/>
  <c r="A96" i="18" l="1"/>
  <c r="D95" i="18"/>
  <c r="B95" i="18"/>
  <c r="I49" i="18"/>
  <c r="G30" i="17"/>
  <c r="C31" i="17" s="1"/>
  <c r="E30" i="17"/>
  <c r="D30" i="17" s="1"/>
  <c r="E58" i="17"/>
  <c r="F58" i="17" s="1"/>
  <c r="G58" i="17" s="1"/>
  <c r="C59" i="17" s="1"/>
  <c r="A97" i="18" l="1"/>
  <c r="B96" i="18"/>
  <c r="D96" i="18"/>
  <c r="C50" i="18"/>
  <c r="E59" i="17"/>
  <c r="F59" i="17" s="1"/>
  <c r="G59" i="17" s="1"/>
  <c r="C60" i="17" s="1"/>
  <c r="G31" i="17"/>
  <c r="C32" i="17" s="1"/>
  <c r="E31" i="17"/>
  <c r="D31" i="17" s="1"/>
  <c r="A98" i="18" l="1"/>
  <c r="D97" i="18"/>
  <c r="B97" i="18"/>
  <c r="H50" i="18"/>
  <c r="J50" i="18" s="1"/>
  <c r="E50" i="18"/>
  <c r="E60" i="17"/>
  <c r="F60" i="17" s="1"/>
  <c r="G60" i="17" s="1"/>
  <c r="C61" i="17" s="1"/>
  <c r="G32" i="17"/>
  <c r="C33" i="17" s="1"/>
  <c r="E32" i="17"/>
  <c r="D32" i="17" s="1"/>
  <c r="B98" i="18" l="1"/>
  <c r="A99" i="18"/>
  <c r="D98" i="18"/>
  <c r="F50" i="18"/>
  <c r="E61" i="17"/>
  <c r="F61" i="17" s="1"/>
  <c r="G61" i="17" s="1"/>
  <c r="C62" i="17" s="1"/>
  <c r="G33" i="17"/>
  <c r="E33" i="17"/>
  <c r="D99" i="18" l="1"/>
  <c r="A100" i="18"/>
  <c r="B99" i="18"/>
  <c r="G50" i="18"/>
  <c r="E62" i="17"/>
  <c r="F62" i="17" s="1"/>
  <c r="G62" i="17" s="1"/>
  <c r="C63" i="17" s="1"/>
  <c r="D33" i="17"/>
  <c r="D34" i="17" s="1"/>
  <c r="E34" i="17"/>
  <c r="A101" i="18" l="1"/>
  <c r="B100" i="18"/>
  <c r="D100" i="18"/>
  <c r="I50" i="18"/>
  <c r="E63" i="17"/>
  <c r="F63" i="17" s="1"/>
  <c r="G63" i="17" s="1"/>
  <c r="C64" i="17" s="1"/>
  <c r="A102" i="18" l="1"/>
  <c r="D101" i="18"/>
  <c r="B101" i="18"/>
  <c r="C51" i="18"/>
  <c r="E64" i="17"/>
  <c r="F64" i="17" s="1"/>
  <c r="G64" i="17" s="1"/>
  <c r="C65" i="17" s="1"/>
  <c r="B102" i="18" l="1"/>
  <c r="D102" i="18"/>
  <c r="A103" i="18"/>
  <c r="E51" i="18"/>
  <c r="H51" i="18"/>
  <c r="J51" i="18" s="1"/>
  <c r="E65" i="17"/>
  <c r="F65" i="17" s="1"/>
  <c r="G65" i="17" s="1"/>
  <c r="C66" i="17" s="1"/>
  <c r="A104" i="18" l="1"/>
  <c r="B103" i="18"/>
  <c r="D103" i="18"/>
  <c r="F51" i="18"/>
  <c r="E66" i="17"/>
  <c r="F66" i="17" s="1"/>
  <c r="G66" i="17" s="1"/>
  <c r="C67" i="17" s="1"/>
  <c r="A105" i="18" l="1"/>
  <c r="D104" i="18"/>
  <c r="B104" i="18"/>
  <c r="G51" i="18"/>
  <c r="E67" i="17"/>
  <c r="F67" i="17" s="1"/>
  <c r="G67" i="17" s="1"/>
  <c r="C68" i="17" s="1"/>
  <c r="D105" i="18" l="1"/>
  <c r="B105" i="18"/>
  <c r="A106" i="18"/>
  <c r="I51" i="18"/>
  <c r="E68" i="17"/>
  <c r="A107" i="18" l="1"/>
  <c r="D106" i="18"/>
  <c r="B106" i="18"/>
  <c r="C52" i="18"/>
  <c r="F68" i="17"/>
  <c r="E69" i="17"/>
  <c r="A108" i="18" l="1"/>
  <c r="D107" i="18"/>
  <c r="B107" i="18"/>
  <c r="H52" i="18"/>
  <c r="J52" i="18" s="1"/>
  <c r="E52" i="18"/>
  <c r="F69" i="17"/>
  <c r="G68" i="17"/>
  <c r="A109" i="18" l="1"/>
  <c r="D108" i="18"/>
  <c r="B108" i="18"/>
  <c r="F52" i="18"/>
  <c r="E149" i="12"/>
  <c r="E150" i="12" s="1"/>
  <c r="E117" i="12"/>
  <c r="E86" i="12"/>
  <c r="D53" i="12"/>
  <c r="D18" i="12"/>
  <c r="A110" i="18" l="1"/>
  <c r="D109" i="18"/>
  <c r="B109" i="18"/>
  <c r="G52" i="18"/>
  <c r="C384" i="1"/>
  <c r="A111" i="18" l="1"/>
  <c r="B110" i="18"/>
  <c r="D110" i="18"/>
  <c r="I52" i="18"/>
  <c r="C53" i="18" s="1"/>
  <c r="D300" i="1"/>
  <c r="C340" i="1"/>
  <c r="C341" i="1" s="1"/>
  <c r="C342" i="1" s="1"/>
  <c r="C343" i="1" s="1"/>
  <c r="C344" i="1" s="1"/>
  <c r="C345" i="1" s="1"/>
  <c r="D169" i="1"/>
  <c r="D199" i="1"/>
  <c r="C215" i="1" s="1"/>
  <c r="F15" i="1"/>
  <c r="B111" i="18" l="1"/>
  <c r="D111" i="18"/>
  <c r="A112" i="18"/>
  <c r="H53" i="18"/>
  <c r="J53" i="18" s="1"/>
  <c r="E53" i="18"/>
  <c r="D150" i="1"/>
  <c r="A113" i="18" l="1"/>
  <c r="D112" i="18"/>
  <c r="B112" i="18"/>
  <c r="F53" i="18"/>
  <c r="C82" i="1"/>
  <c r="D82" i="1"/>
  <c r="E82" i="1"/>
  <c r="F82" i="1"/>
  <c r="G82" i="1"/>
  <c r="C81" i="1"/>
  <c r="D81" i="1"/>
  <c r="E81" i="1"/>
  <c r="F81" i="1"/>
  <c r="G81" i="1"/>
  <c r="C80" i="1"/>
  <c r="D80" i="1"/>
  <c r="E80" i="1"/>
  <c r="F80" i="1"/>
  <c r="G80" i="1"/>
  <c r="C79" i="1"/>
  <c r="D79" i="1"/>
  <c r="E79" i="1"/>
  <c r="F79" i="1"/>
  <c r="G79" i="1"/>
  <c r="C78" i="1"/>
  <c r="D78" i="1"/>
  <c r="E78" i="1"/>
  <c r="F78" i="1"/>
  <c r="G78" i="1"/>
  <c r="F77" i="1"/>
  <c r="F76" i="1"/>
  <c r="F75" i="1"/>
  <c r="F74" i="1"/>
  <c r="F73" i="1"/>
  <c r="G77" i="1"/>
  <c r="E77" i="1"/>
  <c r="G76" i="1"/>
  <c r="E76" i="1"/>
  <c r="G75" i="1"/>
  <c r="E75" i="1"/>
  <c r="G74" i="1"/>
  <c r="E74" i="1"/>
  <c r="E73" i="1"/>
  <c r="D77" i="1"/>
  <c r="D76" i="1"/>
  <c r="D75" i="1"/>
  <c r="D74" i="1"/>
  <c r="D73" i="1"/>
  <c r="C77" i="1"/>
  <c r="C76" i="1"/>
  <c r="C75" i="1"/>
  <c r="C74" i="1"/>
  <c r="C73" i="1"/>
  <c r="D29" i="1"/>
  <c r="D28" i="1"/>
  <c r="D27" i="1"/>
  <c r="D26" i="1"/>
  <c r="D25" i="1"/>
  <c r="C25" i="1"/>
  <c r="G25" i="1" s="1"/>
  <c r="F25" i="1" s="1"/>
  <c r="A114" i="18" l="1"/>
  <c r="D113" i="18"/>
  <c r="B113" i="18"/>
  <c r="G53" i="18"/>
  <c r="E25" i="1"/>
  <c r="C35" i="1"/>
  <c r="C36" i="1" s="1"/>
  <c r="C37" i="1" s="1"/>
  <c r="C38" i="1" s="1"/>
  <c r="C39" i="1" s="1"/>
  <c r="D30" i="1"/>
  <c r="H25" i="1"/>
  <c r="H26" i="1" s="1"/>
  <c r="H27" i="1" s="1"/>
  <c r="H28" i="1" s="1"/>
  <c r="H29" i="1" s="1"/>
  <c r="C26" i="1"/>
  <c r="G26" i="1" s="1"/>
  <c r="C27" i="1" s="1"/>
  <c r="G27" i="1" s="1"/>
  <c r="F27" i="1" s="1"/>
  <c r="A115" i="18" l="1"/>
  <c r="D114" i="18"/>
  <c r="B114" i="18"/>
  <c r="I53" i="18"/>
  <c r="C54" i="18" s="1"/>
  <c r="D35" i="1"/>
  <c r="D36" i="1"/>
  <c r="F26" i="1"/>
  <c r="E26" i="1" s="1"/>
  <c r="D37" i="1"/>
  <c r="C28" i="1"/>
  <c r="G28" i="1" s="1"/>
  <c r="F28" i="1" s="1"/>
  <c r="E28" i="1" s="1"/>
  <c r="E27" i="1"/>
  <c r="A116" i="18" l="1"/>
  <c r="D115" i="18"/>
  <c r="B115" i="18"/>
  <c r="H54" i="18"/>
  <c r="J54" i="18" s="1"/>
  <c r="E54" i="18"/>
  <c r="D38" i="1"/>
  <c r="C29" i="1"/>
  <c r="G29" i="1" s="1"/>
  <c r="D39" i="1" s="1"/>
  <c r="D116" i="18" l="1"/>
  <c r="B116" i="18"/>
  <c r="A117" i="18"/>
  <c r="F54" i="18"/>
  <c r="F29" i="1"/>
  <c r="E29" i="1" s="1"/>
  <c r="E30" i="1" s="1"/>
  <c r="B117" i="18" l="1"/>
  <c r="A118" i="18"/>
  <c r="D117" i="18"/>
  <c r="G54" i="18"/>
  <c r="F30" i="1"/>
  <c r="D118" i="18" l="1"/>
  <c r="B118" i="18"/>
  <c r="A119" i="18"/>
  <c r="I54" i="18"/>
  <c r="C55" i="18" s="1"/>
  <c r="A120" i="18" l="1"/>
  <c r="B119" i="18"/>
  <c r="D119" i="18"/>
  <c r="H55" i="18"/>
  <c r="J55" i="18" s="1"/>
  <c r="E55" i="18"/>
  <c r="D120" i="18" l="1"/>
  <c r="B120" i="18"/>
  <c r="A121" i="18"/>
  <c r="F55" i="18"/>
  <c r="A122" i="18" l="1"/>
  <c r="B121" i="18"/>
  <c r="D121" i="18"/>
  <c r="G55" i="18"/>
  <c r="A123" i="18" l="1"/>
  <c r="D122" i="18"/>
  <c r="B122" i="18"/>
  <c r="I55" i="18"/>
  <c r="C56" i="18" s="1"/>
  <c r="B123" i="18" l="1"/>
  <c r="A124" i="18"/>
  <c r="D123" i="18"/>
  <c r="H56" i="18"/>
  <c r="J56" i="18" s="1"/>
  <c r="E56" i="18"/>
  <c r="A125" i="18" l="1"/>
  <c r="B124" i="18"/>
  <c r="D124" i="18"/>
  <c r="F56" i="18"/>
  <c r="D125" i="18" l="1"/>
  <c r="A126" i="18"/>
  <c r="B125" i="18"/>
  <c r="G56" i="18"/>
  <c r="A127" i="18" l="1"/>
  <c r="B126" i="18"/>
  <c r="D126" i="18"/>
  <c r="I56" i="18"/>
  <c r="C57" i="18" s="1"/>
  <c r="D127" i="18" l="1"/>
  <c r="B127" i="18"/>
  <c r="A128" i="18"/>
  <c r="E57" i="18"/>
  <c r="H57" i="18"/>
  <c r="J57" i="18" s="1"/>
  <c r="B128" i="18" l="1"/>
  <c r="A129" i="18"/>
  <c r="D128" i="18"/>
  <c r="F57" i="18"/>
  <c r="B129" i="18" l="1"/>
  <c r="A130" i="18"/>
  <c r="D129" i="18"/>
  <c r="G57" i="18"/>
  <c r="A131" i="18" l="1"/>
  <c r="B130" i="18"/>
  <c r="D130" i="18"/>
  <c r="I57" i="18"/>
  <c r="C58" i="18" s="1"/>
  <c r="B131" i="18" l="1"/>
  <c r="D131" i="18"/>
  <c r="A132" i="18"/>
  <c r="E58" i="18"/>
  <c r="H58" i="18"/>
  <c r="J58" i="18" s="1"/>
  <c r="B132" i="18" l="1"/>
  <c r="A133" i="18"/>
  <c r="D132" i="18"/>
  <c r="F58" i="18"/>
  <c r="B133" i="18" l="1"/>
  <c r="D133" i="18"/>
  <c r="A134" i="18"/>
  <c r="G58" i="18"/>
  <c r="B134" i="18" l="1"/>
  <c r="D134" i="18"/>
  <c r="A135" i="18"/>
  <c r="I58" i="18"/>
  <c r="C59" i="18" s="1"/>
  <c r="B135" i="18" l="1"/>
  <c r="D135" i="18"/>
  <c r="A136" i="18"/>
  <c r="H59" i="18"/>
  <c r="J59" i="18" s="1"/>
  <c r="E59" i="18"/>
  <c r="D136" i="18" l="1"/>
  <c r="B136" i="18"/>
  <c r="A137" i="18"/>
  <c r="F59" i="18"/>
  <c r="A138" i="18" l="1"/>
  <c r="D137" i="18"/>
  <c r="B137" i="18"/>
  <c r="G59" i="18"/>
  <c r="B138" i="18" l="1"/>
  <c r="D138" i="18"/>
  <c r="A139" i="18"/>
  <c r="I59" i="18"/>
  <c r="C60" i="18" s="1"/>
  <c r="A140" i="18" l="1"/>
  <c r="B139" i="18"/>
  <c r="D139" i="18"/>
  <c r="H60" i="18"/>
  <c r="J60" i="18" s="1"/>
  <c r="E60" i="18"/>
  <c r="D140" i="18" l="1"/>
  <c r="B140" i="18"/>
  <c r="A141" i="18"/>
  <c r="F60" i="18"/>
  <c r="D141" i="18" l="1"/>
  <c r="B141" i="18"/>
  <c r="A142" i="18"/>
  <c r="G60" i="18"/>
  <c r="A143" i="18" l="1"/>
  <c r="D142" i="18"/>
  <c r="B142" i="18"/>
  <c r="I60" i="18"/>
  <c r="C61" i="18" s="1"/>
  <c r="A144" i="18" l="1"/>
  <c r="B143" i="18"/>
  <c r="D143" i="18"/>
  <c r="H61" i="18"/>
  <c r="J61" i="18" s="1"/>
  <c r="E61" i="18"/>
  <c r="A145" i="18" l="1"/>
  <c r="D144" i="18"/>
  <c r="B144" i="18"/>
  <c r="F61" i="18"/>
  <c r="D145" i="18" l="1"/>
  <c r="A146" i="18"/>
  <c r="B145" i="18"/>
  <c r="G61" i="18"/>
  <c r="A147" i="18" l="1"/>
  <c r="B146" i="18"/>
  <c r="D146" i="18"/>
  <c r="I61" i="18"/>
  <c r="C62" i="18" s="1"/>
  <c r="B147" i="18" l="1"/>
  <c r="D147" i="18"/>
  <c r="A148" i="18"/>
  <c r="H62" i="18"/>
  <c r="J62" i="18" s="1"/>
  <c r="E62" i="18"/>
  <c r="A149" i="18" l="1"/>
  <c r="B148" i="18"/>
  <c r="D148" i="18"/>
  <c r="F62" i="18"/>
  <c r="B149" i="18" l="1"/>
  <c r="A150" i="18"/>
  <c r="D149" i="18"/>
  <c r="G62" i="18"/>
  <c r="A151" i="18" l="1"/>
  <c r="D150" i="18"/>
  <c r="B150" i="18"/>
  <c r="I62" i="18"/>
  <c r="C63" i="18" s="1"/>
  <c r="D151" i="18" l="1"/>
  <c r="B151" i="18"/>
  <c r="A152" i="18"/>
  <c r="H63" i="18"/>
  <c r="J63" i="18" s="1"/>
  <c r="E63" i="18"/>
  <c r="B152" i="18" l="1"/>
  <c r="D152" i="18"/>
  <c r="A153" i="18"/>
  <c r="F63" i="18"/>
  <c r="D153" i="18" l="1"/>
  <c r="B153" i="18"/>
  <c r="A154" i="18"/>
  <c r="G63" i="18"/>
  <c r="A155" i="18" l="1"/>
  <c r="B154" i="18"/>
  <c r="D154" i="18"/>
  <c r="I63" i="18"/>
  <c r="C64" i="18" s="1"/>
  <c r="D155" i="18" l="1"/>
  <c r="A156" i="18"/>
  <c r="B155" i="18"/>
  <c r="H64" i="18"/>
  <c r="J64" i="18" s="1"/>
  <c r="E64" i="18"/>
  <c r="B156" i="18" l="1"/>
  <c r="D156" i="18"/>
  <c r="A157" i="18"/>
  <c r="F64" i="18"/>
  <c r="B157" i="18" l="1"/>
  <c r="D157" i="18"/>
  <c r="A158" i="18"/>
  <c r="G64" i="18"/>
  <c r="B158" i="18" l="1"/>
  <c r="D158" i="18"/>
  <c r="A159" i="18"/>
  <c r="I64" i="18"/>
  <c r="C65" i="18" s="1"/>
  <c r="A160" i="18" l="1"/>
  <c r="D159" i="18"/>
  <c r="B159" i="18"/>
  <c r="H65" i="18"/>
  <c r="J65" i="18" s="1"/>
  <c r="E65" i="18"/>
  <c r="A161" i="18" l="1"/>
  <c r="B160" i="18"/>
  <c r="D160" i="18"/>
  <c r="F65" i="18"/>
  <c r="A162" i="18" l="1"/>
  <c r="D161" i="18"/>
  <c r="B161" i="18"/>
  <c r="G65" i="18"/>
  <c r="A163" i="18" l="1"/>
  <c r="D162" i="18"/>
  <c r="B162" i="18"/>
  <c r="I65" i="18"/>
  <c r="C66" i="18" s="1"/>
  <c r="D163" i="18" l="1"/>
  <c r="A164" i="18"/>
  <c r="B163" i="18"/>
  <c r="E66" i="18"/>
  <c r="H66" i="18"/>
  <c r="J66" i="18" s="1"/>
  <c r="B164" i="18" l="1"/>
  <c r="D164" i="18"/>
  <c r="A165" i="18"/>
  <c r="F66" i="18"/>
  <c r="A166" i="18" l="1"/>
  <c r="D165" i="18"/>
  <c r="B165" i="18"/>
  <c r="G66" i="18"/>
  <c r="B166" i="18" l="1"/>
  <c r="D166" i="18"/>
  <c r="A167" i="18"/>
  <c r="I66" i="18"/>
  <c r="C67" i="18" s="1"/>
  <c r="A168" i="18" l="1"/>
  <c r="D167" i="18"/>
  <c r="B167" i="18"/>
  <c r="H67" i="18"/>
  <c r="J67" i="18" s="1"/>
  <c r="E67" i="18"/>
  <c r="D168" i="18" l="1"/>
  <c r="B168" i="18"/>
  <c r="A169" i="18"/>
  <c r="F67" i="18"/>
  <c r="A170" i="18" l="1"/>
  <c r="B169" i="18"/>
  <c r="D169" i="18"/>
  <c r="G67" i="18"/>
  <c r="D170" i="18" l="1"/>
  <c r="A171" i="18"/>
  <c r="B170" i="18"/>
  <c r="I67" i="18"/>
  <c r="C68" i="18" s="1"/>
  <c r="A172" i="18" l="1"/>
  <c r="B171" i="18"/>
  <c r="D171" i="18"/>
  <c r="H68" i="18"/>
  <c r="J68" i="18" s="1"/>
  <c r="E68" i="18"/>
  <c r="D172" i="18" l="1"/>
  <c r="B172" i="18"/>
  <c r="A173" i="18"/>
  <c r="F68" i="18"/>
  <c r="B173" i="18" l="1"/>
  <c r="D173" i="18"/>
  <c r="A174" i="18"/>
  <c r="G68" i="18"/>
  <c r="D174" i="18" l="1"/>
  <c r="B174" i="18"/>
  <c r="A175" i="18"/>
  <c r="I68" i="18"/>
  <c r="C69" i="18" s="1"/>
  <c r="A176" i="18" l="1"/>
  <c r="D175" i="18"/>
  <c r="B175" i="18"/>
  <c r="H69" i="18"/>
  <c r="J69" i="18" s="1"/>
  <c r="E69" i="18"/>
  <c r="B176" i="18" l="1"/>
  <c r="D176" i="18"/>
  <c r="A177" i="18"/>
  <c r="F69" i="18"/>
  <c r="B177" i="18" l="1"/>
  <c r="A178" i="18"/>
  <c r="D177" i="18"/>
  <c r="G69" i="18"/>
  <c r="A179" i="18" l="1"/>
  <c r="D178" i="18"/>
  <c r="B178" i="18"/>
  <c r="I69" i="18"/>
  <c r="C70" i="18" s="1"/>
  <c r="B179" i="18" l="1"/>
  <c r="D179" i="18"/>
  <c r="A180" i="18"/>
  <c r="H70" i="18"/>
  <c r="J70" i="18" s="1"/>
  <c r="E70" i="18"/>
  <c r="B180" i="18" l="1"/>
  <c r="A181" i="18"/>
  <c r="D180" i="18"/>
  <c r="F70" i="18"/>
  <c r="D181" i="18" l="1"/>
  <c r="B181" i="18"/>
  <c r="A182" i="18"/>
  <c r="G70" i="18"/>
  <c r="D182" i="18" l="1"/>
  <c r="A183" i="18"/>
  <c r="B182" i="18"/>
  <c r="I70" i="18"/>
  <c r="C71" i="18" s="1"/>
  <c r="A184" i="18" l="1"/>
  <c r="B183" i="18"/>
  <c r="D183" i="18"/>
  <c r="H71" i="18"/>
  <c r="J71" i="18" s="1"/>
  <c r="E71" i="18"/>
  <c r="A185" i="18" l="1"/>
  <c r="D184" i="18"/>
  <c r="B184" i="18"/>
  <c r="F71" i="18"/>
  <c r="D185" i="18" l="1"/>
  <c r="B185" i="18"/>
  <c r="A186" i="18"/>
  <c r="G71" i="18"/>
  <c r="A187" i="18" l="1"/>
  <c r="B186" i="18"/>
  <c r="D186" i="18"/>
  <c r="I71" i="18"/>
  <c r="C72" i="18" s="1"/>
  <c r="B187" i="18" l="1"/>
  <c r="D187" i="18"/>
  <c r="A188" i="18"/>
  <c r="H72" i="18"/>
  <c r="J72" i="18" s="1"/>
  <c r="E72" i="18"/>
  <c r="B188" i="18" l="1"/>
  <c r="A189" i="18"/>
  <c r="D188" i="18"/>
  <c r="F72" i="18"/>
  <c r="A190" i="18" l="1"/>
  <c r="B189" i="18"/>
  <c r="D189" i="18"/>
  <c r="G72" i="18"/>
  <c r="A191" i="18" l="1"/>
  <c r="D190" i="18"/>
  <c r="B190" i="18"/>
  <c r="I72" i="18"/>
  <c r="C73" i="18" s="1"/>
  <c r="B191" i="18" l="1"/>
  <c r="D191" i="18"/>
  <c r="A192" i="18"/>
  <c r="H73" i="18"/>
  <c r="J73" i="18" s="1"/>
  <c r="E73" i="18"/>
  <c r="A193" i="18" l="1"/>
  <c r="D192" i="18"/>
  <c r="B192" i="18"/>
  <c r="F73" i="18"/>
  <c r="D193" i="18" l="1"/>
  <c r="B193" i="18"/>
  <c r="A194" i="18"/>
  <c r="G73" i="18"/>
  <c r="B194" i="18" l="1"/>
  <c r="D194" i="18"/>
  <c r="A195" i="18"/>
  <c r="I73" i="18"/>
  <c r="C74" i="18" s="1"/>
  <c r="A196" i="18" l="1"/>
  <c r="D195" i="18"/>
  <c r="B195" i="18"/>
  <c r="H74" i="18"/>
  <c r="J74" i="18" s="1"/>
  <c r="E74" i="18"/>
  <c r="D196" i="18" l="1"/>
  <c r="B196" i="18"/>
  <c r="A197" i="18"/>
  <c r="F74" i="18"/>
  <c r="D197" i="18" l="1"/>
  <c r="A198" i="18"/>
  <c r="B197" i="18"/>
  <c r="G74" i="18"/>
  <c r="D198" i="18" l="1"/>
  <c r="B198" i="18"/>
  <c r="A199" i="18"/>
  <c r="I74" i="18"/>
  <c r="C75" i="18" s="1"/>
  <c r="A200" i="18" l="1"/>
  <c r="B199" i="18"/>
  <c r="D199" i="18"/>
  <c r="E75" i="18"/>
  <c r="H75" i="18"/>
  <c r="J75" i="18" s="1"/>
  <c r="B200" i="18" l="1"/>
  <c r="D200" i="18"/>
  <c r="A201" i="18"/>
  <c r="F75" i="18"/>
  <c r="B201" i="18" l="1"/>
  <c r="D201" i="18"/>
  <c r="A202" i="18"/>
  <c r="G75" i="18"/>
  <c r="B202" i="18" l="1"/>
  <c r="D202" i="18"/>
  <c r="A203" i="18"/>
  <c r="I75" i="18"/>
  <c r="C76" i="18" s="1"/>
  <c r="D203" i="18" l="1"/>
  <c r="B203" i="18"/>
  <c r="A204" i="18"/>
  <c r="E76" i="18"/>
  <c r="H76" i="18"/>
  <c r="J76" i="18" s="1"/>
  <c r="D204" i="18" l="1"/>
  <c r="B204" i="18"/>
  <c r="A205" i="18"/>
  <c r="F76" i="18"/>
  <c r="A206" i="18" l="1"/>
  <c r="D205" i="18"/>
  <c r="B205" i="18"/>
  <c r="G76" i="18"/>
  <c r="D206" i="18" l="1"/>
  <c r="A207" i="18"/>
  <c r="B206" i="18"/>
  <c r="I76" i="18"/>
  <c r="C77" i="18" s="1"/>
  <c r="A208" i="18" l="1"/>
  <c r="B207" i="18"/>
  <c r="D207" i="18"/>
  <c r="H77" i="18"/>
  <c r="J77" i="18" s="1"/>
  <c r="E77" i="18"/>
  <c r="D208" i="18" l="1"/>
  <c r="B208" i="18"/>
  <c r="A209" i="18"/>
  <c r="F77" i="18"/>
  <c r="D209" i="18" l="1"/>
  <c r="B209" i="18"/>
  <c r="A210" i="18"/>
  <c r="G77" i="18"/>
  <c r="A211" i="18" l="1"/>
  <c r="D210" i="18"/>
  <c r="B210" i="18"/>
  <c r="I77" i="18"/>
  <c r="C78" i="18" s="1"/>
  <c r="A212" i="18" l="1"/>
  <c r="D211" i="18"/>
  <c r="B211" i="18"/>
  <c r="H78" i="18"/>
  <c r="J78" i="18" s="1"/>
  <c r="E78" i="18"/>
  <c r="A213" i="18" l="1"/>
  <c r="B212" i="18"/>
  <c r="D212" i="18"/>
  <c r="F78" i="18"/>
  <c r="A214" i="18" l="1"/>
  <c r="B213" i="18"/>
  <c r="D213" i="18"/>
  <c r="G78" i="18"/>
  <c r="A215" i="18" l="1"/>
  <c r="D214" i="18"/>
  <c r="B214" i="18"/>
  <c r="I78" i="18"/>
  <c r="C79" i="18" s="1"/>
  <c r="A216" i="18" l="1"/>
  <c r="D215" i="18"/>
  <c r="B215" i="18"/>
  <c r="E79" i="18"/>
  <c r="H79" i="18"/>
  <c r="J79" i="18" s="1"/>
  <c r="D216" i="18" l="1"/>
  <c r="B216" i="18"/>
  <c r="A217" i="18"/>
  <c r="F79" i="18"/>
  <c r="D217" i="18" l="1"/>
  <c r="B217" i="18"/>
  <c r="A218" i="18"/>
  <c r="G79" i="18"/>
  <c r="D218" i="18" l="1"/>
  <c r="A219" i="18"/>
  <c r="B218" i="18"/>
  <c r="I79" i="18"/>
  <c r="C80" i="18" s="1"/>
  <c r="A220" i="18" l="1"/>
  <c r="D219" i="18"/>
  <c r="B219" i="18"/>
  <c r="E80" i="18"/>
  <c r="H80" i="18"/>
  <c r="J80" i="18" s="1"/>
  <c r="D220" i="18" l="1"/>
  <c r="A221" i="18"/>
  <c r="B220" i="18"/>
  <c r="F80" i="18"/>
  <c r="B221" i="18" l="1"/>
  <c r="D221" i="18"/>
  <c r="A222" i="18"/>
  <c r="G80" i="18"/>
  <c r="B222" i="18" l="1"/>
  <c r="A223" i="18"/>
  <c r="D222" i="18"/>
  <c r="I80" i="18"/>
  <c r="C81" i="18" s="1"/>
  <c r="D223" i="18" l="1"/>
  <c r="A224" i="18"/>
  <c r="B223" i="18"/>
  <c r="H81" i="18"/>
  <c r="J81" i="18" s="1"/>
  <c r="E81" i="18"/>
  <c r="A225" i="18" l="1"/>
  <c r="B224" i="18"/>
  <c r="D224" i="18"/>
  <c r="F81" i="18"/>
  <c r="B225" i="18" l="1"/>
  <c r="A226" i="18"/>
  <c r="D225" i="18"/>
  <c r="G81" i="18"/>
  <c r="D226" i="18" l="1"/>
  <c r="B226" i="18"/>
  <c r="A227" i="18"/>
  <c r="I81" i="18"/>
  <c r="C82" i="18" s="1"/>
  <c r="A228" i="18" l="1"/>
  <c r="B227" i="18"/>
  <c r="D227" i="18"/>
  <c r="H82" i="18"/>
  <c r="J82" i="18" s="1"/>
  <c r="E82" i="18"/>
  <c r="A229" i="18" l="1"/>
  <c r="D228" i="18"/>
  <c r="B228" i="18"/>
  <c r="F82" i="18"/>
  <c r="B229" i="18" l="1"/>
  <c r="D229" i="18"/>
  <c r="A230" i="18"/>
  <c r="G82" i="18"/>
  <c r="D230" i="18" l="1"/>
  <c r="B230" i="18"/>
  <c r="A231" i="18"/>
  <c r="I82" i="18"/>
  <c r="C83" i="18" s="1"/>
  <c r="B231" i="18" l="1"/>
  <c r="D231" i="18"/>
  <c r="A232" i="18"/>
  <c r="H83" i="18"/>
  <c r="J83" i="18" s="1"/>
  <c r="E83" i="18"/>
  <c r="A233" i="18" l="1"/>
  <c r="B232" i="18"/>
  <c r="D232" i="18"/>
  <c r="F83" i="18"/>
  <c r="A234" i="18" l="1"/>
  <c r="D233" i="18"/>
  <c r="B233" i="18"/>
  <c r="G83" i="18"/>
  <c r="A235" i="18" l="1"/>
  <c r="B234" i="18"/>
  <c r="D234" i="18"/>
  <c r="I83" i="18"/>
  <c r="C84" i="18" s="1"/>
  <c r="D235" i="18" l="1"/>
  <c r="A236" i="18"/>
  <c r="B235" i="18"/>
  <c r="E84" i="18"/>
  <c r="H84" i="18"/>
  <c r="J84" i="18" s="1"/>
  <c r="B236" i="18" l="1"/>
  <c r="D236" i="18"/>
  <c r="A237" i="18"/>
  <c r="F84" i="18"/>
  <c r="D237" i="18" l="1"/>
  <c r="A238" i="18"/>
  <c r="B237" i="18"/>
  <c r="G84" i="18"/>
  <c r="D238" i="18" l="1"/>
  <c r="B238" i="18"/>
  <c r="A239" i="18"/>
  <c r="I84" i="18"/>
  <c r="C85" i="18" s="1"/>
  <c r="D239" i="18" l="1"/>
  <c r="A240" i="18"/>
  <c r="B239" i="18"/>
  <c r="E85" i="18"/>
  <c r="H85" i="18"/>
  <c r="J85" i="18" s="1"/>
  <c r="A241" i="18" l="1"/>
  <c r="D240" i="18"/>
  <c r="B240" i="18"/>
  <c r="F85" i="18"/>
  <c r="D241" i="18" l="1"/>
  <c r="A242" i="18"/>
  <c r="B241" i="18"/>
  <c r="G85" i="18"/>
  <c r="B242" i="18" l="1"/>
  <c r="D242" i="18"/>
  <c r="A243" i="18"/>
  <c r="I85" i="18"/>
  <c r="C86" i="18" s="1"/>
  <c r="B243" i="18" l="1"/>
  <c r="A244" i="18"/>
  <c r="D243" i="18"/>
  <c r="H86" i="18"/>
  <c r="J86" i="18" s="1"/>
  <c r="E86" i="18"/>
  <c r="D244" i="18" l="1"/>
  <c r="A245" i="18"/>
  <c r="B244" i="18"/>
  <c r="F86" i="18"/>
  <c r="A246" i="18" l="1"/>
  <c r="B245" i="18"/>
  <c r="D245" i="18"/>
  <c r="G86" i="18"/>
  <c r="D246" i="18" l="1"/>
  <c r="A247" i="18"/>
  <c r="B246" i="18"/>
  <c r="I86" i="18"/>
  <c r="C87" i="18" s="1"/>
  <c r="D247" i="18" l="1"/>
  <c r="A248" i="18"/>
  <c r="B247" i="18"/>
  <c r="E87" i="18"/>
  <c r="H87" i="18"/>
  <c r="J87" i="18" s="1"/>
  <c r="B248" i="18" l="1"/>
  <c r="A249" i="18"/>
  <c r="D248" i="18"/>
  <c r="F87" i="18"/>
  <c r="A250" i="18" l="1"/>
  <c r="B249" i="18"/>
  <c r="D249" i="18"/>
  <c r="G87" i="18"/>
  <c r="A251" i="18" l="1"/>
  <c r="D250" i="18"/>
  <c r="B250" i="18"/>
  <c r="I87" i="18"/>
  <c r="C88" i="18" s="1"/>
  <c r="D251" i="18" l="1"/>
  <c r="A252" i="18"/>
  <c r="B251" i="18"/>
  <c r="H88" i="18"/>
  <c r="J88" i="18" s="1"/>
  <c r="E88" i="18"/>
  <c r="B252" i="18" l="1"/>
  <c r="D252" i="18"/>
  <c r="A253" i="18"/>
  <c r="F88" i="18"/>
  <c r="D253" i="18" l="1"/>
  <c r="B253" i="18"/>
  <c r="A254" i="18"/>
  <c r="G88" i="18"/>
  <c r="D254" i="18" l="1"/>
  <c r="B254" i="18"/>
  <c r="A255" i="18"/>
  <c r="I88" i="18"/>
  <c r="C89" i="18" s="1"/>
  <c r="D255" i="18" l="1"/>
  <c r="A256" i="18"/>
  <c r="B255" i="18"/>
  <c r="H89" i="18"/>
  <c r="J89" i="18" s="1"/>
  <c r="E89" i="18"/>
  <c r="D256" i="18" l="1"/>
  <c r="A257" i="18"/>
  <c r="B256" i="18"/>
  <c r="F89" i="18"/>
  <c r="A258" i="18" l="1"/>
  <c r="D257" i="18"/>
  <c r="B257" i="18"/>
  <c r="G89" i="18"/>
  <c r="A259" i="18" l="1"/>
  <c r="D258" i="18"/>
  <c r="B258" i="18"/>
  <c r="I89" i="18"/>
  <c r="C90" i="18" s="1"/>
  <c r="A260" i="18" l="1"/>
  <c r="D259" i="18"/>
  <c r="B259" i="18"/>
  <c r="E90" i="18"/>
  <c r="H90" i="18"/>
  <c r="J90" i="18" s="1"/>
  <c r="D260" i="18" l="1"/>
  <c r="A261" i="18"/>
  <c r="B260" i="18"/>
  <c r="F90" i="18"/>
  <c r="D261" i="18" l="1"/>
  <c r="A262" i="18"/>
  <c r="B261" i="18"/>
  <c r="G90" i="18"/>
  <c r="B262" i="18" l="1"/>
  <c r="D262" i="18"/>
  <c r="A263" i="18"/>
  <c r="I90" i="18"/>
  <c r="C91" i="18" s="1"/>
  <c r="D263" i="18" l="1"/>
  <c r="A264" i="18"/>
  <c r="B263" i="18"/>
  <c r="E91" i="18"/>
  <c r="H91" i="18"/>
  <c r="J91" i="18" s="1"/>
  <c r="D264" i="18" l="1"/>
  <c r="A265" i="18"/>
  <c r="B264" i="18"/>
  <c r="F91" i="18"/>
  <c r="A266" i="18" l="1"/>
  <c r="B265" i="18"/>
  <c r="D265" i="18"/>
  <c r="G91" i="18"/>
  <c r="B266" i="18" l="1"/>
  <c r="D266" i="18"/>
  <c r="A267" i="18"/>
  <c r="I91" i="18"/>
  <c r="C92" i="18" s="1"/>
  <c r="A268" i="18" l="1"/>
  <c r="B267" i="18"/>
  <c r="D267" i="18"/>
  <c r="E92" i="18"/>
  <c r="H92" i="18"/>
  <c r="J92" i="18" s="1"/>
  <c r="D268" i="18" l="1"/>
  <c r="B268" i="18"/>
  <c r="A269" i="18"/>
  <c r="F92" i="18"/>
  <c r="B269" i="18" l="1"/>
  <c r="D269" i="18"/>
  <c r="A270" i="18"/>
  <c r="G92" i="18"/>
  <c r="A271" i="18" l="1"/>
  <c r="B270" i="18"/>
  <c r="D270" i="18"/>
  <c r="I92" i="18"/>
  <c r="C93" i="18" s="1"/>
  <c r="B271" i="18" l="1"/>
  <c r="A272" i="18"/>
  <c r="D271" i="18"/>
  <c r="H93" i="18"/>
  <c r="J93" i="18" s="1"/>
  <c r="E93" i="18"/>
  <c r="A273" i="18" l="1"/>
  <c r="D272" i="18"/>
  <c r="B272" i="18"/>
  <c r="F93" i="18"/>
  <c r="D273" i="18" l="1"/>
  <c r="A274" i="18"/>
  <c r="B273" i="18"/>
  <c r="G93" i="18"/>
  <c r="A275" i="18" l="1"/>
  <c r="B274" i="18"/>
  <c r="D274" i="18"/>
  <c r="I93" i="18"/>
  <c r="C94" i="18" s="1"/>
  <c r="D275" i="18" l="1"/>
  <c r="A276" i="18"/>
  <c r="B275" i="18"/>
  <c r="E94" i="18"/>
  <c r="H94" i="18"/>
  <c r="J94" i="18" s="1"/>
  <c r="A277" i="18" l="1"/>
  <c r="D276" i="18"/>
  <c r="B276" i="18"/>
  <c r="F94" i="18"/>
  <c r="A278" i="18" l="1"/>
  <c r="B277" i="18"/>
  <c r="D277" i="18"/>
  <c r="G94" i="18"/>
  <c r="A279" i="18" l="1"/>
  <c r="D278" i="18"/>
  <c r="B278" i="18"/>
  <c r="I94" i="18"/>
  <c r="C95" i="18" s="1"/>
  <c r="D279" i="18" l="1"/>
  <c r="A280" i="18"/>
  <c r="B279" i="18"/>
  <c r="E95" i="18"/>
  <c r="H95" i="18"/>
  <c r="J95" i="18" s="1"/>
  <c r="A281" i="18" l="1"/>
  <c r="B280" i="18"/>
  <c r="D280" i="18"/>
  <c r="F95" i="18"/>
  <c r="A282" i="18" l="1"/>
  <c r="D281" i="18"/>
  <c r="B281" i="18"/>
  <c r="G95" i="18"/>
  <c r="D282" i="18" l="1"/>
  <c r="A283" i="18"/>
  <c r="B282" i="18"/>
  <c r="I95" i="18"/>
  <c r="C96" i="18" s="1"/>
  <c r="D283" i="18" l="1"/>
  <c r="B283" i="18"/>
  <c r="A284" i="18"/>
  <c r="H96" i="18"/>
  <c r="J96" i="18" s="1"/>
  <c r="E96" i="18"/>
  <c r="B284" i="18" l="1"/>
  <c r="A285" i="18"/>
  <c r="D284" i="18"/>
  <c r="F96" i="18"/>
  <c r="A286" i="18" l="1"/>
  <c r="D285" i="18"/>
  <c r="B285" i="18"/>
  <c r="G96" i="18"/>
  <c r="D286" i="18" l="1"/>
  <c r="B286" i="18"/>
  <c r="A287" i="18"/>
  <c r="I96" i="18"/>
  <c r="C97" i="18" s="1"/>
  <c r="D287" i="18" l="1"/>
  <c r="A288" i="18"/>
  <c r="B287" i="18"/>
  <c r="E97" i="18"/>
  <c r="H97" i="18"/>
  <c r="J97" i="18" s="1"/>
  <c r="A289" i="18" l="1"/>
  <c r="D288" i="18"/>
  <c r="B288" i="18"/>
  <c r="F97" i="18"/>
  <c r="A290" i="18" l="1"/>
  <c r="B289" i="18"/>
  <c r="D289" i="18"/>
  <c r="G97" i="18"/>
  <c r="B290" i="18" l="1"/>
  <c r="A291" i="18"/>
  <c r="D290" i="18"/>
  <c r="I97" i="18"/>
  <c r="C98" i="18" s="1"/>
  <c r="B291" i="18" l="1"/>
  <c r="A292" i="18"/>
  <c r="D291" i="18"/>
  <c r="H98" i="18"/>
  <c r="J98" i="18" s="1"/>
  <c r="E98" i="18"/>
  <c r="D292" i="18" l="1"/>
  <c r="B292" i="18"/>
  <c r="A293" i="18"/>
  <c r="F98" i="18"/>
  <c r="B293" i="18" l="1"/>
  <c r="D293" i="18"/>
  <c r="A294" i="18"/>
  <c r="G98" i="18"/>
  <c r="A295" i="18" l="1"/>
  <c r="D294" i="18"/>
  <c r="B294" i="18"/>
  <c r="I98" i="18"/>
  <c r="C99" i="18" s="1"/>
  <c r="B295" i="18" l="1"/>
  <c r="A296" i="18"/>
  <c r="D295" i="18"/>
  <c r="H99" i="18"/>
  <c r="J99" i="18" s="1"/>
  <c r="E99" i="18"/>
  <c r="B296" i="18" l="1"/>
  <c r="D296" i="18"/>
  <c r="A297" i="18"/>
  <c r="F99" i="18"/>
  <c r="D297" i="18" l="1"/>
  <c r="A298" i="18"/>
  <c r="B297" i="18"/>
  <c r="G99" i="18"/>
  <c r="A299" i="18" l="1"/>
  <c r="D298" i="18"/>
  <c r="B298" i="18"/>
  <c r="I99" i="18"/>
  <c r="C100" i="18" s="1"/>
  <c r="D299" i="18" l="1"/>
  <c r="A300" i="18"/>
  <c r="B299" i="18"/>
  <c r="H100" i="18"/>
  <c r="J100" i="18" s="1"/>
  <c r="E100" i="18"/>
  <c r="A301" i="18" l="1"/>
  <c r="D300" i="18"/>
  <c r="B300" i="18"/>
  <c r="F100" i="18"/>
  <c r="A302" i="18" l="1"/>
  <c r="D301" i="18"/>
  <c r="B301" i="18"/>
  <c r="G100" i="18"/>
  <c r="D302" i="18" l="1"/>
  <c r="B302" i="18"/>
  <c r="A303" i="18"/>
  <c r="I100" i="18"/>
  <c r="C101" i="18" s="1"/>
  <c r="A304" i="18" l="1"/>
  <c r="B303" i="18"/>
  <c r="D303" i="18"/>
  <c r="H101" i="18"/>
  <c r="J101" i="18" s="1"/>
  <c r="E101" i="18"/>
  <c r="D304" i="18" l="1"/>
  <c r="B304" i="18"/>
  <c r="A305" i="18"/>
  <c r="F101" i="18"/>
  <c r="A306" i="18" l="1"/>
  <c r="B305" i="18"/>
  <c r="D305" i="18"/>
  <c r="G101" i="18"/>
  <c r="A307" i="18" l="1"/>
  <c r="B306" i="18"/>
  <c r="D306" i="18"/>
  <c r="I101" i="18"/>
  <c r="C102" i="18" s="1"/>
  <c r="B307" i="18" l="1"/>
  <c r="D307" i="18"/>
  <c r="A308" i="18"/>
  <c r="H102" i="18"/>
  <c r="J102" i="18" s="1"/>
  <c r="E102" i="18"/>
  <c r="D308" i="18" l="1"/>
  <c r="A309" i="18"/>
  <c r="B308" i="18"/>
  <c r="F102" i="18"/>
  <c r="A310" i="18" l="1"/>
  <c r="B309" i="18"/>
  <c r="D309" i="18"/>
  <c r="G102" i="18"/>
  <c r="D310" i="18" l="1"/>
  <c r="A311" i="18"/>
  <c r="B310" i="18"/>
  <c r="I102" i="18"/>
  <c r="C103" i="18" s="1"/>
  <c r="B311" i="18" l="1"/>
  <c r="A312" i="18"/>
  <c r="D311" i="18"/>
  <c r="H103" i="18"/>
  <c r="J103" i="18" s="1"/>
  <c r="E103" i="18"/>
  <c r="A313" i="18" l="1"/>
  <c r="B312" i="18"/>
  <c r="D312" i="18"/>
  <c r="F103" i="18"/>
  <c r="A314" i="18" l="1"/>
  <c r="B313" i="18"/>
  <c r="D313" i="18"/>
  <c r="G103" i="18"/>
  <c r="A315" i="18" l="1"/>
  <c r="D314" i="18"/>
  <c r="B314" i="18"/>
  <c r="I103" i="18"/>
  <c r="C104" i="18" s="1"/>
  <c r="B315" i="18" l="1"/>
  <c r="A316" i="18"/>
  <c r="D315" i="18"/>
  <c r="H104" i="18"/>
  <c r="J104" i="18" s="1"/>
  <c r="E104" i="18"/>
  <c r="A317" i="18" l="1"/>
  <c r="D316" i="18"/>
  <c r="B316" i="18"/>
  <c r="F104" i="18"/>
  <c r="A318" i="18" l="1"/>
  <c r="B317" i="18"/>
  <c r="D317" i="18"/>
  <c r="G104" i="18"/>
  <c r="B318" i="18" l="1"/>
  <c r="A319" i="18"/>
  <c r="D318" i="18"/>
  <c r="I104" i="18"/>
  <c r="C105" i="18" s="1"/>
  <c r="A320" i="18" l="1"/>
  <c r="D319" i="18"/>
  <c r="B319" i="18"/>
  <c r="H105" i="18"/>
  <c r="J105" i="18" s="1"/>
  <c r="E105" i="18"/>
  <c r="D320" i="18" l="1"/>
  <c r="B320" i="18"/>
  <c r="A321" i="18"/>
  <c r="F105" i="18"/>
  <c r="B321" i="18" l="1"/>
  <c r="D321" i="18"/>
  <c r="A322" i="18"/>
  <c r="G105" i="18"/>
  <c r="D322" i="18" l="1"/>
  <c r="A323" i="18"/>
  <c r="B322" i="18"/>
  <c r="I105" i="18"/>
  <c r="C106" i="18" s="1"/>
  <c r="A324" i="18" l="1"/>
  <c r="B323" i="18"/>
  <c r="D323" i="18"/>
  <c r="H106" i="18"/>
  <c r="J106" i="18" s="1"/>
  <c r="E106" i="18"/>
  <c r="D324" i="18" l="1"/>
  <c r="A325" i="18"/>
  <c r="B324" i="18"/>
  <c r="F106" i="18"/>
  <c r="D325" i="18" l="1"/>
  <c r="B325" i="18"/>
  <c r="A326" i="18"/>
  <c r="G106" i="18"/>
  <c r="D326" i="18" l="1"/>
  <c r="B326" i="18"/>
  <c r="A327" i="18"/>
  <c r="I106" i="18"/>
  <c r="C107" i="18" s="1"/>
  <c r="B327" i="18" l="1"/>
  <c r="D327" i="18"/>
  <c r="A328" i="18"/>
  <c r="H107" i="18"/>
  <c r="J107" i="18" s="1"/>
  <c r="E107" i="18"/>
  <c r="A329" i="18" l="1"/>
  <c r="D328" i="18"/>
  <c r="B328" i="18"/>
  <c r="F107" i="18"/>
  <c r="B329" i="18" l="1"/>
  <c r="D329" i="18"/>
  <c r="A330" i="18"/>
  <c r="G107" i="18"/>
  <c r="A331" i="18" l="1"/>
  <c r="B330" i="18"/>
  <c r="D330" i="18"/>
  <c r="I107" i="18"/>
  <c r="C108" i="18" s="1"/>
  <c r="B331" i="18" l="1"/>
  <c r="D331" i="18"/>
  <c r="A332" i="18"/>
  <c r="H108" i="18"/>
  <c r="J108" i="18" s="1"/>
  <c r="E108" i="18"/>
  <c r="B332" i="18" l="1"/>
  <c r="A333" i="18"/>
  <c r="D332" i="18"/>
  <c r="F108" i="18"/>
  <c r="A334" i="18" l="1"/>
  <c r="B333" i="18"/>
  <c r="D333" i="18"/>
  <c r="G108" i="18"/>
  <c r="D334" i="18" l="1"/>
  <c r="B334" i="18"/>
  <c r="A335" i="18"/>
  <c r="I108" i="18"/>
  <c r="C109" i="18" s="1"/>
  <c r="A336" i="18" l="1"/>
  <c r="D335" i="18"/>
  <c r="B335" i="18"/>
  <c r="H109" i="18"/>
  <c r="J109" i="18" s="1"/>
  <c r="E109" i="18"/>
  <c r="B336" i="18" l="1"/>
  <c r="A337" i="18"/>
  <c r="D336" i="18"/>
  <c r="F109" i="18"/>
  <c r="B337" i="18" l="1"/>
  <c r="D337" i="18"/>
  <c r="A338" i="18"/>
  <c r="G109" i="18"/>
  <c r="B338" i="18" l="1"/>
  <c r="D338" i="18"/>
  <c r="A339" i="18"/>
  <c r="I109" i="18"/>
  <c r="C110" i="18" s="1"/>
  <c r="A340" i="18" l="1"/>
  <c r="B339" i="18"/>
  <c r="D339" i="18"/>
  <c r="E110" i="18"/>
  <c r="H110" i="18"/>
  <c r="J110" i="18" s="1"/>
  <c r="D340" i="18" l="1"/>
  <c r="A341" i="18"/>
  <c r="B340" i="18"/>
  <c r="F110" i="18"/>
  <c r="B341" i="18" l="1"/>
  <c r="A342" i="18"/>
  <c r="D341" i="18"/>
  <c r="G110" i="18"/>
  <c r="D342" i="18" l="1"/>
  <c r="B342" i="18"/>
  <c r="A343" i="18"/>
  <c r="I110" i="18"/>
  <c r="C111" i="18" s="1"/>
  <c r="B343" i="18" l="1"/>
  <c r="D343" i="18"/>
  <c r="A344" i="18"/>
  <c r="H111" i="18"/>
  <c r="J111" i="18" s="1"/>
  <c r="E111" i="18"/>
  <c r="B344" i="18" l="1"/>
  <c r="D344" i="18"/>
  <c r="A345" i="18"/>
  <c r="F111" i="18"/>
  <c r="B345" i="18" l="1"/>
  <c r="D345" i="18"/>
  <c r="A346" i="18"/>
  <c r="G111" i="18"/>
  <c r="A347" i="18" l="1"/>
  <c r="B346" i="18"/>
  <c r="D346" i="18"/>
  <c r="I111" i="18"/>
  <c r="C112" i="18" s="1"/>
  <c r="A348" i="18" l="1"/>
  <c r="B347" i="18"/>
  <c r="D347" i="18"/>
  <c r="E112" i="18"/>
  <c r="H112" i="18"/>
  <c r="J112" i="18" s="1"/>
  <c r="D348" i="18" l="1"/>
  <c r="B348" i="18"/>
  <c r="A349" i="18"/>
  <c r="F112" i="18"/>
  <c r="B349" i="18" l="1"/>
  <c r="D349" i="18"/>
  <c r="A350" i="18"/>
  <c r="G112" i="18"/>
  <c r="D350" i="18" l="1"/>
  <c r="A351" i="18"/>
  <c r="B350" i="18"/>
  <c r="I112" i="18"/>
  <c r="C113" i="18" s="1"/>
  <c r="A352" i="18" l="1"/>
  <c r="D351" i="18"/>
  <c r="B351" i="18"/>
  <c r="H113" i="18"/>
  <c r="J113" i="18" s="1"/>
  <c r="E113" i="18"/>
  <c r="D352" i="18" l="1"/>
  <c r="B352" i="18"/>
  <c r="A353" i="18"/>
  <c r="F113" i="18"/>
  <c r="B353" i="18" l="1"/>
  <c r="D353" i="18"/>
  <c r="A354" i="18"/>
  <c r="G113" i="18"/>
  <c r="D354" i="18" l="1"/>
  <c r="B354" i="18"/>
  <c r="A355" i="18"/>
  <c r="I113" i="18"/>
  <c r="C114" i="18" s="1"/>
  <c r="A356" i="18" l="1"/>
  <c r="D355" i="18"/>
  <c r="B355" i="18"/>
  <c r="H114" i="18"/>
  <c r="J114" i="18" s="1"/>
  <c r="E114" i="18"/>
  <c r="B356" i="18" l="1"/>
  <c r="A357" i="18"/>
  <c r="D356" i="18"/>
  <c r="F114" i="18"/>
  <c r="B357" i="18" l="1"/>
  <c r="D357" i="18"/>
  <c r="A358" i="18"/>
  <c r="G114" i="18"/>
  <c r="D358" i="18" l="1"/>
  <c r="B358" i="18"/>
  <c r="A359" i="18"/>
  <c r="I114" i="18"/>
  <c r="C115" i="18" s="1"/>
  <c r="B359" i="18" l="1"/>
  <c r="A360" i="18"/>
  <c r="D359" i="18"/>
  <c r="H115" i="18"/>
  <c r="J115" i="18" s="1"/>
  <c r="E115" i="18"/>
  <c r="A361" i="18" l="1"/>
  <c r="B360" i="18"/>
  <c r="D360" i="18"/>
  <c r="F115" i="18"/>
  <c r="D361" i="18" l="1"/>
  <c r="B361" i="18"/>
  <c r="A362" i="18"/>
  <c r="G115" i="18"/>
  <c r="B362" i="18" l="1"/>
  <c r="A363" i="18"/>
  <c r="D362" i="18"/>
  <c r="I115" i="18"/>
  <c r="C116" i="18" s="1"/>
  <c r="B363" i="18" l="1"/>
  <c r="D363" i="18"/>
  <c r="A364" i="18"/>
  <c r="H116" i="18"/>
  <c r="J116" i="18" s="1"/>
  <c r="E116" i="18"/>
  <c r="A365" i="18" l="1"/>
  <c r="D364" i="18"/>
  <c r="B364" i="18"/>
  <c r="F116" i="18"/>
  <c r="A366" i="18" l="1"/>
  <c r="D365" i="18"/>
  <c r="B365" i="18"/>
  <c r="G116" i="18"/>
  <c r="B366" i="18" l="1"/>
  <c r="A367" i="18"/>
  <c r="D366" i="18"/>
  <c r="I116" i="18"/>
  <c r="C117" i="18" s="1"/>
  <c r="A368" i="18" l="1"/>
  <c r="B367" i="18"/>
  <c r="D367" i="18"/>
  <c r="H117" i="18"/>
  <c r="J117" i="18" s="1"/>
  <c r="E117" i="18"/>
  <c r="B368" i="18" l="1"/>
  <c r="D368" i="18"/>
  <c r="A369" i="18"/>
  <c r="F117" i="18"/>
  <c r="A370" i="18" l="1"/>
  <c r="D369" i="18"/>
  <c r="B369" i="18"/>
  <c r="G117" i="18"/>
  <c r="A371" i="18" l="1"/>
  <c r="B370" i="18"/>
  <c r="D370" i="18"/>
  <c r="I117" i="18"/>
  <c r="C118" i="18" s="1"/>
  <c r="B371" i="18" l="1"/>
  <c r="D371" i="18"/>
  <c r="A372" i="18"/>
  <c r="H118" i="18"/>
  <c r="J118" i="18" s="1"/>
  <c r="E118" i="18"/>
  <c r="A373" i="18" l="1"/>
  <c r="D372" i="18"/>
  <c r="B372" i="18"/>
  <c r="F118" i="18"/>
  <c r="B373" i="18" l="1"/>
  <c r="D373" i="18"/>
  <c r="A374" i="18"/>
  <c r="G118" i="18"/>
  <c r="A375" i="18" l="1"/>
  <c r="D374" i="18"/>
  <c r="B374" i="18"/>
  <c r="I118" i="18"/>
  <c r="C119" i="18" s="1"/>
  <c r="A376" i="18" l="1"/>
  <c r="B375" i="18"/>
  <c r="D375" i="18"/>
  <c r="H119" i="18"/>
  <c r="J119" i="18" s="1"/>
  <c r="E119" i="18"/>
  <c r="D376" i="18" l="1"/>
  <c r="A377" i="18"/>
  <c r="B376" i="18"/>
  <c r="F119" i="18"/>
  <c r="B377" i="18" l="1"/>
  <c r="D377" i="18"/>
  <c r="A378" i="18"/>
  <c r="G119" i="18"/>
  <c r="B378" i="18" l="1"/>
  <c r="A379" i="18"/>
  <c r="D378" i="18"/>
  <c r="I119" i="18"/>
  <c r="C120" i="18" s="1"/>
  <c r="B379" i="18" l="1"/>
  <c r="A380" i="18"/>
  <c r="D379" i="18"/>
  <c r="H120" i="18"/>
  <c r="J120" i="18" s="1"/>
  <c r="E120" i="18"/>
  <c r="B380" i="18" l="1"/>
  <c r="A381" i="18"/>
  <c r="D380" i="18"/>
  <c r="F120" i="18"/>
  <c r="A382" i="18" l="1"/>
  <c r="B381" i="18"/>
  <c r="D381" i="18"/>
  <c r="G120" i="18"/>
  <c r="D382" i="18" l="1"/>
  <c r="A383" i="18"/>
  <c r="B382" i="18"/>
  <c r="I120" i="18"/>
  <c r="C121" i="18" s="1"/>
  <c r="D383" i="18" l="1"/>
  <c r="A384" i="18"/>
  <c r="B383" i="18"/>
  <c r="H121" i="18"/>
  <c r="J121" i="18" s="1"/>
  <c r="E121" i="18"/>
  <c r="D384" i="18" l="1"/>
  <c r="B384" i="18"/>
  <c r="A385" i="18"/>
  <c r="F121" i="18"/>
  <c r="D385" i="18" l="1"/>
  <c r="B385" i="18"/>
  <c r="A386" i="18"/>
  <c r="G121" i="18"/>
  <c r="A387" i="18" l="1"/>
  <c r="D386" i="18"/>
  <c r="B386" i="18"/>
  <c r="I121" i="18"/>
  <c r="C122" i="18" s="1"/>
  <c r="B387" i="18" l="1"/>
  <c r="A388" i="18"/>
  <c r="D387" i="18"/>
  <c r="H122" i="18"/>
  <c r="J122" i="18" s="1"/>
  <c r="E122" i="18"/>
  <c r="A389" i="18" l="1"/>
  <c r="D388" i="18"/>
  <c r="B388" i="18"/>
  <c r="F122" i="18"/>
  <c r="D389" i="18" l="1"/>
  <c r="B389" i="18"/>
  <c r="A390" i="18"/>
  <c r="G122" i="18"/>
  <c r="B390" i="18" l="1"/>
  <c r="D390" i="18"/>
  <c r="A391" i="18"/>
  <c r="I122" i="18"/>
  <c r="C123" i="18" s="1"/>
  <c r="A392" i="18" l="1"/>
  <c r="D391" i="18"/>
  <c r="B391" i="18"/>
  <c r="H123" i="18"/>
  <c r="J123" i="18" s="1"/>
  <c r="E123" i="18"/>
  <c r="B392" i="18" l="1"/>
  <c r="A393" i="18"/>
  <c r="D392" i="18"/>
  <c r="F123" i="18"/>
  <c r="D393" i="18" l="1"/>
  <c r="B393" i="18"/>
  <c r="A394" i="18"/>
  <c r="G123" i="18"/>
  <c r="A395" i="18" l="1"/>
  <c r="D394" i="18"/>
  <c r="B394" i="18"/>
  <c r="I123" i="18"/>
  <c r="C124" i="18" s="1"/>
  <c r="D395" i="18" l="1"/>
  <c r="A396" i="18"/>
  <c r="B395" i="18"/>
  <c r="H124" i="18"/>
  <c r="J124" i="18" s="1"/>
  <c r="E124" i="18"/>
  <c r="A397" i="18" l="1"/>
  <c r="D396" i="18"/>
  <c r="B396" i="18"/>
  <c r="F124" i="18"/>
  <c r="B397" i="18" l="1"/>
  <c r="A398" i="18"/>
  <c r="D397" i="18"/>
  <c r="G124" i="18"/>
  <c r="A399" i="18" l="1"/>
  <c r="B398" i="18"/>
  <c r="D398" i="18"/>
  <c r="I124" i="18"/>
  <c r="C125" i="18" s="1"/>
  <c r="B399" i="18" l="1"/>
  <c r="D399" i="18"/>
  <c r="A400" i="18"/>
  <c r="H125" i="18"/>
  <c r="J125" i="18" s="1"/>
  <c r="E125" i="18"/>
  <c r="B400" i="18" l="1"/>
  <c r="A401" i="18"/>
  <c r="D400" i="18"/>
  <c r="F125" i="18"/>
  <c r="D401" i="18" l="1"/>
  <c r="B401" i="18"/>
  <c r="A402" i="18"/>
  <c r="G125" i="18"/>
  <c r="B402" i="18" l="1"/>
  <c r="D402" i="18"/>
  <c r="A403" i="18"/>
  <c r="I125" i="18"/>
  <c r="C126" i="18" s="1"/>
  <c r="D403" i="18" l="1"/>
  <c r="A404" i="18"/>
  <c r="B403" i="18"/>
  <c r="H126" i="18"/>
  <c r="J126" i="18" s="1"/>
  <c r="E126" i="18"/>
  <c r="A405" i="18" l="1"/>
  <c r="B404" i="18"/>
  <c r="D404" i="18"/>
  <c r="F126" i="18"/>
  <c r="B405" i="18" l="1"/>
  <c r="D405" i="18"/>
  <c r="A406" i="18"/>
  <c r="G126" i="18"/>
  <c r="B406" i="18" l="1"/>
  <c r="D406" i="18"/>
  <c r="A407" i="18"/>
  <c r="I126" i="18"/>
  <c r="C127" i="18" s="1"/>
  <c r="A408" i="18" l="1"/>
  <c r="D407" i="18"/>
  <c r="B407" i="18"/>
  <c r="H127" i="18"/>
  <c r="J127" i="18" s="1"/>
  <c r="E127" i="18"/>
  <c r="A409" i="18" l="1"/>
  <c r="B408" i="18"/>
  <c r="D408" i="18"/>
  <c r="F127" i="18"/>
  <c r="D409" i="18" l="1"/>
  <c r="B409" i="18"/>
  <c r="A410" i="18"/>
  <c r="G127" i="18"/>
  <c r="D410" i="18" l="1"/>
  <c r="B410" i="18"/>
  <c r="A411" i="18"/>
  <c r="I127" i="18"/>
  <c r="C128" i="18" s="1"/>
  <c r="D411" i="18" l="1"/>
  <c r="A412" i="18"/>
  <c r="B411" i="18"/>
  <c r="H128" i="18"/>
  <c r="J128" i="18" s="1"/>
  <c r="E128" i="18"/>
  <c r="D412" i="18" l="1"/>
  <c r="A413" i="18"/>
  <c r="B412" i="18"/>
  <c r="F128" i="18"/>
  <c r="A414" i="18" l="1"/>
  <c r="B413" i="18"/>
  <c r="D413" i="18"/>
  <c r="G128" i="18"/>
  <c r="A415" i="18" l="1"/>
  <c r="B414" i="18"/>
  <c r="D414" i="18"/>
  <c r="I128" i="18"/>
  <c r="C129" i="18" s="1"/>
  <c r="B415" i="18" l="1"/>
  <c r="A416" i="18"/>
  <c r="D415" i="18"/>
  <c r="E129" i="18"/>
  <c r="H129" i="18"/>
  <c r="J129" i="18" s="1"/>
  <c r="B416" i="18" l="1"/>
  <c r="D416" i="18"/>
  <c r="A417" i="18"/>
  <c r="F129" i="18"/>
  <c r="B417" i="18" l="1"/>
  <c r="D417" i="18"/>
  <c r="A418" i="18"/>
  <c r="G129" i="18"/>
  <c r="B418" i="18" l="1"/>
  <c r="D418" i="18"/>
  <c r="A419" i="18"/>
  <c r="I129" i="18"/>
  <c r="C130" i="18" s="1"/>
  <c r="D419" i="18" l="1"/>
  <c r="B419" i="18"/>
  <c r="A420" i="18"/>
  <c r="E130" i="18"/>
  <c r="H130" i="18"/>
  <c r="J130" i="18" s="1"/>
  <c r="B420" i="18" l="1"/>
  <c r="D420" i="18"/>
  <c r="A421" i="18"/>
  <c r="F130" i="18"/>
  <c r="D421" i="18" l="1"/>
  <c r="A422" i="18"/>
  <c r="B421" i="18"/>
  <c r="G130" i="18"/>
  <c r="B422" i="18" l="1"/>
  <c r="D422" i="18"/>
  <c r="A423" i="18"/>
  <c r="I130" i="18"/>
  <c r="C131" i="18" s="1"/>
  <c r="D423" i="18" l="1"/>
  <c r="B423" i="18"/>
  <c r="A424" i="18"/>
  <c r="E131" i="18"/>
  <c r="H131" i="18"/>
  <c r="J131" i="18" s="1"/>
  <c r="A425" i="18" l="1"/>
  <c r="B424" i="18"/>
  <c r="D424" i="18"/>
  <c r="F131" i="18"/>
  <c r="A426" i="18" l="1"/>
  <c r="D425" i="18"/>
  <c r="B425" i="18"/>
  <c r="G131" i="18"/>
  <c r="A427" i="18" l="1"/>
  <c r="B426" i="18"/>
  <c r="D426" i="18"/>
  <c r="I131" i="18"/>
  <c r="C132" i="18" s="1"/>
  <c r="D427" i="18" l="1"/>
  <c r="B427" i="18"/>
  <c r="A428" i="18"/>
  <c r="H132" i="18"/>
  <c r="J132" i="18" s="1"/>
  <c r="E132" i="18"/>
  <c r="B428" i="18" l="1"/>
  <c r="D428" i="18"/>
  <c r="A429" i="18"/>
  <c r="F132" i="18"/>
  <c r="B429" i="18" l="1"/>
  <c r="A430" i="18"/>
  <c r="D429" i="18"/>
  <c r="G132" i="18"/>
  <c r="D430" i="18" l="1"/>
  <c r="B430" i="18"/>
  <c r="A431" i="18"/>
  <c r="I132" i="18"/>
  <c r="C133" i="18" s="1"/>
  <c r="B431" i="18" l="1"/>
  <c r="A432" i="18"/>
  <c r="D431" i="18"/>
  <c r="H133" i="18"/>
  <c r="J133" i="18" s="1"/>
  <c r="E133" i="18"/>
  <c r="A433" i="18" l="1"/>
  <c r="D432" i="18"/>
  <c r="B432" i="18"/>
  <c r="F133" i="18"/>
  <c r="B433" i="18" l="1"/>
  <c r="A434" i="18"/>
  <c r="D433" i="18"/>
  <c r="G133" i="18"/>
  <c r="B434" i="18" l="1"/>
  <c r="A435" i="18"/>
  <c r="D434" i="18"/>
  <c r="I133" i="18"/>
  <c r="C134" i="18" s="1"/>
  <c r="A436" i="18" l="1"/>
  <c r="D435" i="18"/>
  <c r="B435" i="18"/>
  <c r="H134" i="18"/>
  <c r="J134" i="18" s="1"/>
  <c r="E134" i="18"/>
  <c r="B436" i="18" l="1"/>
  <c r="D436" i="18"/>
  <c r="A437" i="18"/>
  <c r="F134" i="18"/>
  <c r="B437" i="18" l="1"/>
  <c r="A438" i="18"/>
  <c r="D437" i="18"/>
  <c r="G134" i="18"/>
  <c r="D438" i="18" l="1"/>
  <c r="A439" i="18"/>
  <c r="B438" i="18"/>
  <c r="I134" i="18"/>
  <c r="C135" i="18" s="1"/>
  <c r="A440" i="18" l="1"/>
  <c r="D439" i="18"/>
  <c r="B439" i="18"/>
  <c r="E135" i="18"/>
  <c r="H135" i="18"/>
  <c r="J135" i="18" s="1"/>
  <c r="B440" i="18" l="1"/>
  <c r="D440" i="18"/>
  <c r="A441" i="18"/>
  <c r="F135" i="18"/>
  <c r="B441" i="18" l="1"/>
  <c r="D441" i="18"/>
  <c r="A442" i="18"/>
  <c r="G135" i="18"/>
  <c r="A443" i="18" l="1"/>
  <c r="B442" i="18"/>
  <c r="D442" i="18"/>
  <c r="I135" i="18"/>
  <c r="C136" i="18" s="1"/>
  <c r="B443" i="18" l="1"/>
  <c r="D443" i="18"/>
  <c r="A444" i="18"/>
  <c r="E136" i="18"/>
  <c r="H136" i="18"/>
  <c r="J136" i="18" s="1"/>
  <c r="A445" i="18" l="1"/>
  <c r="D444" i="18"/>
  <c r="B444" i="18"/>
  <c r="F136" i="18"/>
  <c r="A446" i="18" l="1"/>
  <c r="B445" i="18"/>
  <c r="D445" i="18"/>
  <c r="G136" i="18"/>
  <c r="D446" i="18" l="1"/>
  <c r="A447" i="18"/>
  <c r="B446" i="18"/>
  <c r="I136" i="18"/>
  <c r="C137" i="18" s="1"/>
  <c r="D447" i="18" l="1"/>
  <c r="A448" i="18"/>
  <c r="B447" i="18"/>
  <c r="H137" i="18"/>
  <c r="J137" i="18" s="1"/>
  <c r="E137" i="18"/>
  <c r="D448" i="18" l="1"/>
  <c r="A449" i="18"/>
  <c r="B448" i="18"/>
  <c r="F137" i="18"/>
  <c r="A450" i="18" l="1"/>
  <c r="B449" i="18"/>
  <c r="D449" i="18"/>
  <c r="G137" i="18"/>
  <c r="B450" i="18" l="1"/>
  <c r="D450" i="18"/>
  <c r="A451" i="18"/>
  <c r="I137" i="18"/>
  <c r="C138" i="18" s="1"/>
  <c r="D451" i="18" l="1"/>
  <c r="B451" i="18"/>
  <c r="A452" i="18"/>
  <c r="H138" i="18"/>
  <c r="J138" i="18" s="1"/>
  <c r="E138" i="18"/>
  <c r="D452" i="18" l="1"/>
  <c r="A453" i="18"/>
  <c r="B452" i="18"/>
  <c r="F138" i="18"/>
  <c r="B453" i="18" l="1"/>
  <c r="D453" i="18"/>
  <c r="A454" i="18"/>
  <c r="G138" i="18"/>
  <c r="A455" i="18" l="1"/>
  <c r="D454" i="18"/>
  <c r="B454" i="18"/>
  <c r="I138" i="18"/>
  <c r="C139" i="18" s="1"/>
  <c r="B455" i="18" l="1"/>
  <c r="D455" i="18"/>
  <c r="A456" i="18"/>
  <c r="H139" i="18"/>
  <c r="J139" i="18" s="1"/>
  <c r="E139" i="18"/>
  <c r="B456" i="18" l="1"/>
  <c r="D456" i="18"/>
  <c r="A457" i="18"/>
  <c r="F139" i="18"/>
  <c r="D457" i="18" l="1"/>
  <c r="B457" i="18"/>
  <c r="A458" i="18"/>
  <c r="G139" i="18"/>
  <c r="D458" i="18" l="1"/>
  <c r="B458" i="18"/>
  <c r="A459" i="18"/>
  <c r="I139" i="18"/>
  <c r="C140" i="18" s="1"/>
  <c r="D459" i="18" l="1"/>
  <c r="A460" i="18"/>
  <c r="B459" i="18"/>
  <c r="H140" i="18"/>
  <c r="J140" i="18" s="1"/>
  <c r="E140" i="18"/>
  <c r="D460" i="18" l="1"/>
  <c r="A461" i="18"/>
  <c r="B460" i="18"/>
  <c r="F140" i="18"/>
  <c r="B461" i="18" l="1"/>
  <c r="A462" i="18"/>
  <c r="D461" i="18"/>
  <c r="G140" i="18"/>
  <c r="B462" i="18" l="1"/>
  <c r="D462" i="18"/>
  <c r="A463" i="18"/>
  <c r="I140" i="18"/>
  <c r="C141" i="18" s="1"/>
  <c r="D463" i="18" l="1"/>
  <c r="A464" i="18"/>
  <c r="B463" i="18"/>
  <c r="E141" i="18"/>
  <c r="H141" i="18"/>
  <c r="J141" i="18" s="1"/>
  <c r="A465" i="18" l="1"/>
  <c r="D464" i="18"/>
  <c r="B464" i="18"/>
  <c r="F141" i="18"/>
  <c r="A466" i="18" l="1"/>
  <c r="B465" i="18"/>
  <c r="D465" i="18"/>
  <c r="G141" i="18"/>
  <c r="D466" i="18" l="1"/>
  <c r="B466" i="18"/>
  <c r="A467" i="18"/>
  <c r="I141" i="18"/>
  <c r="C142" i="18" s="1"/>
  <c r="B467" i="18" l="1"/>
  <c r="A468" i="18"/>
  <c r="D467" i="18"/>
  <c r="H142" i="18"/>
  <c r="J142" i="18" s="1"/>
  <c r="E142" i="18"/>
  <c r="A469" i="18" l="1"/>
  <c r="B468" i="18"/>
  <c r="D468" i="18"/>
  <c r="F142" i="18"/>
  <c r="B469" i="18" l="1"/>
  <c r="D469" i="18"/>
  <c r="A470" i="18"/>
  <c r="G142" i="18"/>
  <c r="A471" i="18" l="1"/>
  <c r="B470" i="18"/>
  <c r="D470" i="18"/>
  <c r="I142" i="18"/>
  <c r="C143" i="18" s="1"/>
  <c r="D471" i="18" l="1"/>
  <c r="A472" i="18"/>
  <c r="B471" i="18"/>
  <c r="H143" i="18"/>
  <c r="J143" i="18" s="1"/>
  <c r="E143" i="18"/>
  <c r="D472" i="18" l="1"/>
  <c r="A473" i="18"/>
  <c r="B472" i="18"/>
  <c r="F143" i="18"/>
  <c r="A474" i="18" l="1"/>
  <c r="D473" i="18"/>
  <c r="B473" i="18"/>
  <c r="G143" i="18"/>
  <c r="D474" i="18" l="1"/>
  <c r="B474" i="18"/>
  <c r="A475" i="18"/>
  <c r="I143" i="18"/>
  <c r="C144" i="18" s="1"/>
  <c r="D475" i="18" l="1"/>
  <c r="B475" i="18"/>
  <c r="A476" i="18"/>
  <c r="H144" i="18"/>
  <c r="J144" i="18" s="1"/>
  <c r="E144" i="18"/>
  <c r="D476" i="18" l="1"/>
  <c r="B476" i="18"/>
  <c r="A477" i="18"/>
  <c r="F144" i="18"/>
  <c r="D477" i="18" l="1"/>
  <c r="A478" i="18"/>
  <c r="B477" i="18"/>
  <c r="G144" i="18"/>
  <c r="B478" i="18" l="1"/>
  <c r="A479" i="18"/>
  <c r="D478" i="18"/>
  <c r="I144" i="18"/>
  <c r="C145" i="18" s="1"/>
  <c r="D479" i="18" l="1"/>
  <c r="A480" i="18"/>
  <c r="B479" i="18"/>
  <c r="H145" i="18"/>
  <c r="J145" i="18" s="1"/>
  <c r="E145" i="18"/>
  <c r="A481" i="18" l="1"/>
  <c r="D480" i="18"/>
  <c r="B480" i="18"/>
  <c r="F145" i="18"/>
  <c r="D481" i="18" l="1"/>
  <c r="B481" i="18"/>
  <c r="A482" i="18"/>
  <c r="G145" i="18"/>
  <c r="A483" i="18" l="1"/>
  <c r="B482" i="18"/>
  <c r="D482" i="18"/>
  <c r="I145" i="18"/>
  <c r="C146" i="18" s="1"/>
  <c r="B483" i="18" l="1"/>
  <c r="A484" i="18"/>
  <c r="D483" i="18"/>
  <c r="H146" i="18"/>
  <c r="J146" i="18" s="1"/>
  <c r="E146" i="18"/>
  <c r="D484" i="18" l="1"/>
  <c r="B484" i="18"/>
  <c r="A485" i="18"/>
  <c r="F146" i="18"/>
  <c r="A486" i="18" l="1"/>
  <c r="B485" i="18"/>
  <c r="D485" i="18"/>
  <c r="G146" i="18"/>
  <c r="A487" i="18" l="1"/>
  <c r="D486" i="18"/>
  <c r="B486" i="18"/>
  <c r="I146" i="18"/>
  <c r="C147" i="18" s="1"/>
  <c r="B487" i="18" l="1"/>
  <c r="A488" i="18"/>
  <c r="D487" i="18"/>
  <c r="E147" i="18"/>
  <c r="H147" i="18"/>
  <c r="J147" i="18" s="1"/>
  <c r="B488" i="18" l="1"/>
  <c r="D488" i="18"/>
  <c r="A489" i="18"/>
  <c r="F147" i="18"/>
  <c r="A490" i="18" l="1"/>
  <c r="D489" i="18"/>
  <c r="B489" i="18"/>
  <c r="G147" i="18"/>
  <c r="D490" i="18" l="1"/>
  <c r="A491" i="18"/>
  <c r="B490" i="18"/>
  <c r="I147" i="18"/>
  <c r="C148" i="18" s="1"/>
  <c r="D491" i="18" l="1"/>
  <c r="A492" i="18"/>
  <c r="B491" i="18"/>
  <c r="E148" i="18"/>
  <c r="H148" i="18"/>
  <c r="J148" i="18" s="1"/>
  <c r="A493" i="18" l="1"/>
  <c r="D492" i="18"/>
  <c r="B492" i="18"/>
  <c r="F148" i="18"/>
  <c r="D493" i="18" l="1"/>
  <c r="B493" i="18"/>
  <c r="A494" i="18"/>
  <c r="G148" i="18"/>
  <c r="B494" i="18" l="1"/>
  <c r="A495" i="18"/>
  <c r="D494" i="18"/>
  <c r="I148" i="18"/>
  <c r="C149" i="18" s="1"/>
  <c r="D495" i="18" l="1"/>
  <c r="B495" i="18"/>
  <c r="A496" i="18"/>
  <c r="E149" i="18"/>
  <c r="H149" i="18"/>
  <c r="J149" i="18" s="1"/>
  <c r="B496" i="18" l="1"/>
  <c r="A497" i="18"/>
  <c r="D496" i="18"/>
  <c r="F149" i="18"/>
  <c r="D497" i="18" l="1"/>
  <c r="B497" i="18"/>
  <c r="G149" i="18"/>
  <c r="I149" i="18" l="1"/>
  <c r="C150" i="18" s="1"/>
  <c r="H150" i="18" l="1"/>
  <c r="J150" i="18" s="1"/>
  <c r="E150" i="18"/>
  <c r="F150" i="18" l="1"/>
  <c r="G150" i="18" l="1"/>
  <c r="I150" i="18" l="1"/>
  <c r="C151" i="18" s="1"/>
  <c r="E151" i="18" l="1"/>
  <c r="H151" i="18"/>
  <c r="J151" i="18" s="1"/>
  <c r="F151" i="18" l="1"/>
  <c r="G151" i="18" l="1"/>
  <c r="I151" i="18" l="1"/>
  <c r="C152" i="18" s="1"/>
  <c r="H152" i="18" l="1"/>
  <c r="J152" i="18" s="1"/>
  <c r="E152" i="18"/>
  <c r="F152" i="18" l="1"/>
  <c r="G152" i="18" l="1"/>
  <c r="I152" i="18" l="1"/>
  <c r="C153" i="18" s="1"/>
  <c r="E153" i="18" l="1"/>
  <c r="H153" i="18"/>
  <c r="J153" i="18" s="1"/>
  <c r="F153" i="18" l="1"/>
  <c r="G153" i="18" l="1"/>
  <c r="I153" i="18" l="1"/>
  <c r="C154" i="18" s="1"/>
  <c r="E154" i="18" l="1"/>
  <c r="H154" i="18"/>
  <c r="J154" i="18" s="1"/>
  <c r="F154" i="18" l="1"/>
  <c r="G154" i="18" l="1"/>
  <c r="I154" i="18" l="1"/>
  <c r="C155" i="18" s="1"/>
  <c r="E155" i="18" l="1"/>
  <c r="H155" i="18"/>
  <c r="J155" i="18" s="1"/>
  <c r="F155" i="18" l="1"/>
  <c r="G155" i="18" l="1"/>
  <c r="I155" i="18" l="1"/>
  <c r="C156" i="18" s="1"/>
  <c r="H156" i="18" l="1"/>
  <c r="J156" i="18" s="1"/>
  <c r="E156" i="18"/>
  <c r="F156" i="18" l="1"/>
  <c r="G156" i="18" l="1"/>
  <c r="I156" i="18" l="1"/>
  <c r="C157" i="18" s="1"/>
  <c r="H157" i="18" l="1"/>
  <c r="J157" i="18" s="1"/>
  <c r="E157" i="18"/>
  <c r="F157" i="18" l="1"/>
  <c r="G157" i="18" l="1"/>
  <c r="I157" i="18" l="1"/>
  <c r="C158" i="18" s="1"/>
  <c r="H158" i="18" l="1"/>
  <c r="J158" i="18" s="1"/>
  <c r="E158" i="18"/>
  <c r="F158" i="18" l="1"/>
  <c r="G158" i="18" l="1"/>
  <c r="I158" i="18" l="1"/>
  <c r="C159" i="18" s="1"/>
  <c r="H159" i="18" l="1"/>
  <c r="J159" i="18" s="1"/>
  <c r="E159" i="18"/>
  <c r="F159" i="18" l="1"/>
  <c r="G159" i="18" l="1"/>
  <c r="I159" i="18" l="1"/>
  <c r="C160" i="18" s="1"/>
  <c r="H160" i="18" l="1"/>
  <c r="J160" i="18" s="1"/>
  <c r="E160" i="18"/>
  <c r="F160" i="18" l="1"/>
  <c r="G160" i="18" l="1"/>
  <c r="I160" i="18" l="1"/>
  <c r="C161" i="18" s="1"/>
  <c r="E161" i="18" l="1"/>
  <c r="H161" i="18"/>
  <c r="J161" i="18" s="1"/>
  <c r="F161" i="18" l="1"/>
  <c r="G161" i="18" l="1"/>
  <c r="I161" i="18" l="1"/>
  <c r="C162" i="18" s="1"/>
  <c r="E162" i="18" l="1"/>
  <c r="H162" i="18"/>
  <c r="J162" i="18" s="1"/>
  <c r="F162" i="18" l="1"/>
  <c r="G162" i="18" l="1"/>
  <c r="I162" i="18" l="1"/>
  <c r="C163" i="18" s="1"/>
  <c r="E163" i="18" l="1"/>
  <c r="H163" i="18"/>
  <c r="J163" i="18" s="1"/>
  <c r="F163" i="18" l="1"/>
  <c r="G163" i="18" l="1"/>
  <c r="I163" i="18" l="1"/>
  <c r="C164" i="18" s="1"/>
  <c r="H164" i="18" l="1"/>
  <c r="J164" i="18" s="1"/>
  <c r="E164" i="18"/>
  <c r="F164" i="18" l="1"/>
  <c r="G164" i="18" l="1"/>
  <c r="I164" i="18" l="1"/>
  <c r="C165" i="18" s="1"/>
  <c r="H165" i="18" l="1"/>
  <c r="J165" i="18" s="1"/>
  <c r="E165" i="18"/>
  <c r="F165" i="18" l="1"/>
  <c r="G165" i="18" l="1"/>
  <c r="I165" i="18" l="1"/>
  <c r="C166" i="18" s="1"/>
  <c r="E166" i="18" l="1"/>
  <c r="H166" i="18"/>
  <c r="J166" i="18" s="1"/>
  <c r="F166" i="18" l="1"/>
  <c r="G166" i="18" l="1"/>
  <c r="I166" i="18" l="1"/>
  <c r="C167" i="18" s="1"/>
  <c r="H167" i="18" l="1"/>
  <c r="J167" i="18" s="1"/>
  <c r="E167" i="18"/>
  <c r="F167" i="18" l="1"/>
  <c r="G167" i="18" l="1"/>
  <c r="I167" i="18" l="1"/>
  <c r="C168" i="18" s="1"/>
  <c r="H168" i="18" l="1"/>
  <c r="J168" i="18" s="1"/>
  <c r="E168" i="18"/>
  <c r="F168" i="18" l="1"/>
  <c r="G168" i="18" l="1"/>
  <c r="I168" i="18" l="1"/>
  <c r="C169" i="18" s="1"/>
  <c r="E169" i="18" l="1"/>
  <c r="H169" i="18"/>
  <c r="J169" i="18" s="1"/>
  <c r="F169" i="18" l="1"/>
  <c r="G169" i="18" l="1"/>
  <c r="I169" i="18" l="1"/>
  <c r="C170" i="18" s="1"/>
  <c r="E170" i="18" l="1"/>
  <c r="H170" i="18"/>
  <c r="J170" i="18" s="1"/>
  <c r="F170" i="18" l="1"/>
  <c r="G170" i="18" l="1"/>
  <c r="I170" i="18" l="1"/>
  <c r="C171" i="18" s="1"/>
  <c r="E171" i="18" l="1"/>
  <c r="H171" i="18"/>
  <c r="J171" i="18" s="1"/>
  <c r="F171" i="18" l="1"/>
  <c r="G171" i="18" l="1"/>
  <c r="I171" i="18" l="1"/>
  <c r="C172" i="18" s="1"/>
  <c r="E172" i="18" l="1"/>
  <c r="H172" i="18"/>
  <c r="J172" i="18" s="1"/>
  <c r="F172" i="18" l="1"/>
  <c r="G172" i="18" l="1"/>
  <c r="I172" i="18" l="1"/>
  <c r="C173" i="18" s="1"/>
  <c r="E173" i="18" l="1"/>
  <c r="H173" i="18"/>
  <c r="J173" i="18" s="1"/>
  <c r="F173" i="18" l="1"/>
  <c r="G173" i="18" l="1"/>
  <c r="I173" i="18" l="1"/>
  <c r="C174" i="18" s="1"/>
  <c r="H174" i="18" l="1"/>
  <c r="J174" i="18" s="1"/>
  <c r="E174" i="18"/>
  <c r="F174" i="18" l="1"/>
  <c r="G174" i="18" l="1"/>
  <c r="I174" i="18" l="1"/>
  <c r="C175" i="18" s="1"/>
  <c r="E175" i="18" l="1"/>
  <c r="H175" i="18"/>
  <c r="J175" i="18" s="1"/>
  <c r="F175" i="18" l="1"/>
  <c r="G175" i="18" l="1"/>
  <c r="I175" i="18" l="1"/>
  <c r="C176" i="18" s="1"/>
  <c r="H176" i="18" l="1"/>
  <c r="J176" i="18" s="1"/>
  <c r="E176" i="18"/>
  <c r="F176" i="18" l="1"/>
  <c r="G176" i="18" l="1"/>
  <c r="I176" i="18" l="1"/>
  <c r="C177" i="18" s="1"/>
  <c r="H177" i="18" l="1"/>
  <c r="J177" i="18" s="1"/>
  <c r="E177" i="18"/>
  <c r="F177" i="18" l="1"/>
  <c r="G177" i="18" l="1"/>
  <c r="I177" i="18" l="1"/>
  <c r="C178" i="18" s="1"/>
  <c r="E178" i="18" l="1"/>
  <c r="H178" i="18"/>
  <c r="J178" i="18" s="1"/>
  <c r="F178" i="18" l="1"/>
  <c r="G178" i="18" l="1"/>
  <c r="I178" i="18" l="1"/>
  <c r="C179" i="18" s="1"/>
  <c r="E179" i="18" l="1"/>
  <c r="H179" i="18"/>
  <c r="J179" i="18" s="1"/>
  <c r="F179" i="18" l="1"/>
  <c r="G179" i="18" l="1"/>
  <c r="I179" i="18" l="1"/>
  <c r="C180" i="18" s="1"/>
  <c r="H180" i="18" l="1"/>
  <c r="J180" i="18" s="1"/>
  <c r="E180" i="18"/>
  <c r="F180" i="18" l="1"/>
  <c r="G180" i="18" l="1"/>
  <c r="I180" i="18" l="1"/>
  <c r="C181" i="18" s="1"/>
  <c r="H181" i="18" l="1"/>
  <c r="J181" i="18" s="1"/>
  <c r="E181" i="18"/>
  <c r="F181" i="18" l="1"/>
  <c r="G181" i="18" l="1"/>
  <c r="I181" i="18" l="1"/>
  <c r="C182" i="18" s="1"/>
  <c r="E182" i="18" l="1"/>
  <c r="H182" i="18"/>
  <c r="J182" i="18" s="1"/>
  <c r="F182" i="18" l="1"/>
  <c r="G182" i="18" l="1"/>
  <c r="I182" i="18" l="1"/>
  <c r="C183" i="18" s="1"/>
  <c r="H183" i="18" l="1"/>
  <c r="J183" i="18" s="1"/>
  <c r="E183" i="18"/>
  <c r="F183" i="18" l="1"/>
  <c r="G183" i="18" l="1"/>
  <c r="I183" i="18" l="1"/>
  <c r="C184" i="18" s="1"/>
  <c r="H184" i="18" l="1"/>
  <c r="J184" i="18" s="1"/>
  <c r="E184" i="18"/>
  <c r="F184" i="18" l="1"/>
  <c r="G184" i="18" l="1"/>
  <c r="I184" i="18" l="1"/>
  <c r="C185" i="18" s="1"/>
  <c r="E185" i="18" l="1"/>
  <c r="H185" i="18"/>
  <c r="J185" i="18" s="1"/>
  <c r="F185" i="18" l="1"/>
  <c r="G185" i="18" l="1"/>
  <c r="I185" i="18" l="1"/>
  <c r="C186" i="18" s="1"/>
  <c r="H186" i="18" l="1"/>
  <c r="J186" i="18" s="1"/>
  <c r="E186" i="18"/>
  <c r="F186" i="18" l="1"/>
  <c r="G186" i="18" l="1"/>
  <c r="I186" i="18" l="1"/>
  <c r="C187" i="18" s="1"/>
  <c r="H187" i="18" l="1"/>
  <c r="J187" i="18" s="1"/>
  <c r="E187" i="18"/>
  <c r="F187" i="18" l="1"/>
  <c r="G187" i="18" l="1"/>
  <c r="I187" i="18" l="1"/>
  <c r="C188" i="18" s="1"/>
  <c r="H188" i="18" l="1"/>
  <c r="J188" i="18" s="1"/>
  <c r="E188" i="18"/>
  <c r="F188" i="18" l="1"/>
  <c r="G188" i="18" l="1"/>
  <c r="I188" i="18" l="1"/>
  <c r="C189" i="18" s="1"/>
  <c r="E189" i="18" l="1"/>
  <c r="H189" i="18"/>
  <c r="J189" i="18" s="1"/>
  <c r="F189" i="18" l="1"/>
  <c r="G189" i="18" l="1"/>
  <c r="I189" i="18" l="1"/>
  <c r="C190" i="18" s="1"/>
  <c r="H190" i="18" l="1"/>
  <c r="J190" i="18" s="1"/>
  <c r="E190" i="18"/>
  <c r="F190" i="18" l="1"/>
  <c r="G190" i="18" l="1"/>
  <c r="I190" i="18" l="1"/>
  <c r="C191" i="18" s="1"/>
  <c r="H191" i="18" l="1"/>
  <c r="J191" i="18" s="1"/>
  <c r="E191" i="18"/>
  <c r="F191" i="18" l="1"/>
  <c r="G191" i="18" l="1"/>
  <c r="I191" i="18" l="1"/>
  <c r="C192" i="18" s="1"/>
  <c r="H192" i="18" l="1"/>
  <c r="J192" i="18" s="1"/>
  <c r="E192" i="18"/>
  <c r="F192" i="18" l="1"/>
  <c r="G192" i="18" l="1"/>
  <c r="I192" i="18" l="1"/>
  <c r="C193" i="18" s="1"/>
  <c r="H193" i="18" l="1"/>
  <c r="J193" i="18" s="1"/>
  <c r="E193" i="18"/>
  <c r="F193" i="18" l="1"/>
  <c r="G193" i="18" l="1"/>
  <c r="I193" i="18" l="1"/>
  <c r="C194" i="18" s="1"/>
  <c r="H194" i="18" l="1"/>
  <c r="J194" i="18" s="1"/>
  <c r="E194" i="18"/>
  <c r="F194" i="18" l="1"/>
  <c r="G194" i="18" l="1"/>
  <c r="I194" i="18" l="1"/>
  <c r="C195" i="18" s="1"/>
  <c r="E195" i="18" l="1"/>
  <c r="H195" i="18"/>
  <c r="J195" i="18" s="1"/>
  <c r="F195" i="18" l="1"/>
  <c r="G195" i="18" l="1"/>
  <c r="I195" i="18" l="1"/>
  <c r="C196" i="18" s="1"/>
  <c r="E196" i="18" l="1"/>
  <c r="H196" i="18"/>
  <c r="J196" i="18" s="1"/>
  <c r="F196" i="18" l="1"/>
  <c r="G196" i="18" l="1"/>
  <c r="I196" i="18" l="1"/>
  <c r="C197" i="18" s="1"/>
  <c r="E197" i="18" l="1"/>
  <c r="H197" i="18"/>
  <c r="J197" i="18" s="1"/>
  <c r="F197" i="18" l="1"/>
  <c r="G197" i="18" l="1"/>
  <c r="I197" i="18" l="1"/>
  <c r="C198" i="18" s="1"/>
  <c r="E198" i="18" l="1"/>
  <c r="H198" i="18"/>
  <c r="J198" i="18" s="1"/>
  <c r="F198" i="18" l="1"/>
  <c r="G198" i="18" l="1"/>
  <c r="I198" i="18" l="1"/>
  <c r="C199" i="18" s="1"/>
  <c r="E199" i="18" l="1"/>
  <c r="H199" i="18"/>
  <c r="J199" i="18" s="1"/>
  <c r="F199" i="18" l="1"/>
  <c r="G199" i="18" l="1"/>
  <c r="I199" i="18" l="1"/>
  <c r="C200" i="18" s="1"/>
  <c r="H200" i="18" l="1"/>
  <c r="J200" i="18" s="1"/>
  <c r="E200" i="18"/>
  <c r="F200" i="18" l="1"/>
  <c r="G200" i="18" l="1"/>
  <c r="I200" i="18" l="1"/>
  <c r="C201" i="18" s="1"/>
  <c r="H201" i="18" l="1"/>
  <c r="J201" i="18" s="1"/>
  <c r="E201" i="18"/>
  <c r="F201" i="18" l="1"/>
  <c r="G201" i="18" l="1"/>
  <c r="I201" i="18" l="1"/>
  <c r="C202" i="18" s="1"/>
  <c r="E202" i="18" l="1"/>
  <c r="H202" i="18"/>
  <c r="J202" i="18" s="1"/>
  <c r="F202" i="18" l="1"/>
  <c r="G202" i="18" l="1"/>
  <c r="I202" i="18" l="1"/>
  <c r="C203" i="18" s="1"/>
  <c r="H203" i="18" l="1"/>
  <c r="J203" i="18" s="1"/>
  <c r="E203" i="18"/>
  <c r="F203" i="18" l="1"/>
  <c r="G203" i="18" l="1"/>
  <c r="I203" i="18" l="1"/>
  <c r="C204" i="18" s="1"/>
  <c r="H204" i="18" l="1"/>
  <c r="J204" i="18" s="1"/>
  <c r="E204" i="18"/>
  <c r="F204" i="18" l="1"/>
  <c r="G204" i="18" l="1"/>
  <c r="I204" i="18" l="1"/>
  <c r="C205" i="18" s="1"/>
  <c r="H205" i="18" l="1"/>
  <c r="J205" i="18" s="1"/>
  <c r="E205" i="18"/>
  <c r="F205" i="18" l="1"/>
  <c r="G205" i="18" l="1"/>
  <c r="I205" i="18" l="1"/>
  <c r="C206" i="18" s="1"/>
  <c r="H206" i="18" l="1"/>
  <c r="J206" i="18" s="1"/>
  <c r="E206" i="18"/>
  <c r="F206" i="18" l="1"/>
  <c r="G206" i="18" l="1"/>
  <c r="I206" i="18" l="1"/>
  <c r="C207" i="18" s="1"/>
  <c r="H207" i="18" l="1"/>
  <c r="J207" i="18" s="1"/>
  <c r="E207" i="18"/>
  <c r="F207" i="18" l="1"/>
  <c r="G207" i="18" l="1"/>
  <c r="I207" i="18" l="1"/>
  <c r="C208" i="18" s="1"/>
  <c r="E208" i="18" l="1"/>
  <c r="H208" i="18"/>
  <c r="J208" i="18" s="1"/>
  <c r="F208" i="18" l="1"/>
  <c r="G208" i="18" l="1"/>
  <c r="I208" i="18" l="1"/>
  <c r="C209" i="18" s="1"/>
  <c r="H209" i="18" l="1"/>
  <c r="J209" i="18" s="1"/>
  <c r="E209" i="18"/>
  <c r="F209" i="18" l="1"/>
  <c r="G209" i="18" l="1"/>
  <c r="I209" i="18" l="1"/>
  <c r="C210" i="18" s="1"/>
  <c r="H210" i="18" l="1"/>
  <c r="J210" i="18" s="1"/>
  <c r="E210" i="18"/>
  <c r="F210" i="18" l="1"/>
  <c r="G210" i="18" l="1"/>
  <c r="I210" i="18" l="1"/>
  <c r="C211" i="18" s="1"/>
  <c r="E211" i="18" l="1"/>
  <c r="H211" i="18"/>
  <c r="J211" i="18" s="1"/>
  <c r="F211" i="18" l="1"/>
  <c r="G211" i="18" l="1"/>
  <c r="I211" i="18" l="1"/>
  <c r="C212" i="18" s="1"/>
  <c r="H212" i="18" l="1"/>
  <c r="J212" i="18" s="1"/>
  <c r="E212" i="18"/>
  <c r="F212" i="18" l="1"/>
  <c r="G212" i="18" l="1"/>
  <c r="I212" i="18" l="1"/>
  <c r="C213" i="18" s="1"/>
  <c r="H213" i="18" l="1"/>
  <c r="J213" i="18" s="1"/>
  <c r="E213" i="18"/>
  <c r="F213" i="18" l="1"/>
  <c r="G213" i="18" l="1"/>
  <c r="I213" i="18" l="1"/>
  <c r="C214" i="18" s="1"/>
  <c r="H214" i="18" l="1"/>
  <c r="J214" i="18" s="1"/>
  <c r="E214" i="18"/>
  <c r="F214" i="18" l="1"/>
  <c r="G214" i="18" l="1"/>
  <c r="I214" i="18" l="1"/>
  <c r="C215" i="18" s="1"/>
  <c r="H215" i="18" l="1"/>
  <c r="J215" i="18" s="1"/>
  <c r="E215" i="18"/>
  <c r="F215" i="18" l="1"/>
  <c r="G215" i="18" l="1"/>
  <c r="I215" i="18" l="1"/>
  <c r="C216" i="18" s="1"/>
  <c r="H216" i="18" l="1"/>
  <c r="J216" i="18" s="1"/>
  <c r="E216" i="18"/>
  <c r="F216" i="18" l="1"/>
  <c r="G216" i="18" l="1"/>
  <c r="I216" i="18" l="1"/>
  <c r="C217" i="18" s="1"/>
  <c r="E217" i="18" l="1"/>
  <c r="H217" i="18"/>
  <c r="J217" i="18" s="1"/>
  <c r="F217" i="18" l="1"/>
  <c r="G217" i="18" l="1"/>
  <c r="I217" i="18" l="1"/>
  <c r="C218" i="18" s="1"/>
  <c r="E218" i="18" l="1"/>
  <c r="H218" i="18"/>
  <c r="J218" i="18" s="1"/>
  <c r="F218" i="18" l="1"/>
  <c r="G218" i="18" l="1"/>
  <c r="I218" i="18" l="1"/>
  <c r="C219" i="18" s="1"/>
  <c r="H219" i="18" l="1"/>
  <c r="J219" i="18" s="1"/>
  <c r="E219" i="18"/>
  <c r="F219" i="18" l="1"/>
  <c r="G219" i="18" l="1"/>
  <c r="I219" i="18" l="1"/>
  <c r="C220" i="18" s="1"/>
  <c r="H220" i="18" l="1"/>
  <c r="J220" i="18" s="1"/>
  <c r="E220" i="18"/>
  <c r="F220" i="18" l="1"/>
  <c r="G220" i="18" l="1"/>
  <c r="I220" i="18" l="1"/>
  <c r="C221" i="18" s="1"/>
  <c r="H221" i="18" l="1"/>
  <c r="J221" i="18" s="1"/>
  <c r="E221" i="18"/>
  <c r="F221" i="18" l="1"/>
  <c r="G221" i="18" l="1"/>
  <c r="I221" i="18" l="1"/>
  <c r="C222" i="18" s="1"/>
  <c r="E222" i="18" l="1"/>
  <c r="H222" i="18"/>
  <c r="J222" i="18" s="1"/>
  <c r="F222" i="18" l="1"/>
  <c r="G222" i="18" l="1"/>
  <c r="I222" i="18" l="1"/>
  <c r="C223" i="18" s="1"/>
  <c r="H223" i="18" l="1"/>
  <c r="J223" i="18" s="1"/>
  <c r="E223" i="18"/>
  <c r="F223" i="18" l="1"/>
  <c r="G223" i="18" l="1"/>
  <c r="I223" i="18" l="1"/>
  <c r="C224" i="18" s="1"/>
  <c r="E224" i="18" l="1"/>
  <c r="H224" i="18"/>
  <c r="J224" i="18" s="1"/>
  <c r="F224" i="18" l="1"/>
  <c r="G224" i="18" l="1"/>
  <c r="I224" i="18" l="1"/>
  <c r="C225" i="18" s="1"/>
  <c r="H225" i="18" l="1"/>
  <c r="J225" i="18" s="1"/>
  <c r="E225" i="18"/>
  <c r="F225" i="18" l="1"/>
  <c r="G225" i="18" l="1"/>
  <c r="I225" i="18" l="1"/>
  <c r="C226" i="18" s="1"/>
  <c r="E226" i="18" l="1"/>
  <c r="H226" i="18"/>
  <c r="J226" i="18" s="1"/>
  <c r="F226" i="18" l="1"/>
  <c r="G226" i="18" l="1"/>
  <c r="I226" i="18" l="1"/>
  <c r="C227" i="18" s="1"/>
  <c r="H227" i="18" l="1"/>
  <c r="J227" i="18" s="1"/>
  <c r="E227" i="18"/>
  <c r="F227" i="18" l="1"/>
  <c r="G227" i="18" l="1"/>
  <c r="I227" i="18" l="1"/>
  <c r="C228" i="18" s="1"/>
  <c r="H228" i="18" l="1"/>
  <c r="J228" i="18" s="1"/>
  <c r="E228" i="18"/>
  <c r="F228" i="18" l="1"/>
  <c r="G228" i="18" l="1"/>
  <c r="I228" i="18" l="1"/>
  <c r="C229" i="18" s="1"/>
  <c r="H229" i="18" l="1"/>
  <c r="J229" i="18" s="1"/>
  <c r="E229" i="18"/>
  <c r="F229" i="18" l="1"/>
  <c r="G229" i="18" l="1"/>
  <c r="I229" i="18" l="1"/>
  <c r="C230" i="18" s="1"/>
  <c r="E230" i="18" l="1"/>
  <c r="H230" i="18"/>
  <c r="J230" i="18" s="1"/>
  <c r="F230" i="18" l="1"/>
  <c r="G230" i="18" l="1"/>
  <c r="I230" i="18" l="1"/>
  <c r="C231" i="18" s="1"/>
  <c r="E231" i="18" l="1"/>
  <c r="H231" i="18"/>
  <c r="J231" i="18" s="1"/>
  <c r="F231" i="18" l="1"/>
  <c r="G231" i="18" l="1"/>
  <c r="I231" i="18" l="1"/>
  <c r="C232" i="18" s="1"/>
  <c r="E232" i="18" l="1"/>
  <c r="H232" i="18"/>
  <c r="J232" i="18" s="1"/>
  <c r="F232" i="18" l="1"/>
  <c r="G232" i="18" l="1"/>
  <c r="I232" i="18" l="1"/>
  <c r="C233" i="18" s="1"/>
  <c r="H233" i="18" l="1"/>
  <c r="J233" i="18" s="1"/>
  <c r="E233" i="18"/>
  <c r="F233" i="18" l="1"/>
  <c r="G233" i="18" l="1"/>
  <c r="I233" i="18" l="1"/>
  <c r="C234" i="18" s="1"/>
  <c r="E234" i="18" l="1"/>
  <c r="H234" i="18"/>
  <c r="J234" i="18" s="1"/>
  <c r="F234" i="18" l="1"/>
  <c r="G234" i="18" l="1"/>
  <c r="I234" i="18" l="1"/>
  <c r="C235" i="18" s="1"/>
  <c r="E235" i="18" l="1"/>
  <c r="H235" i="18"/>
  <c r="J235" i="18" s="1"/>
  <c r="F235" i="18" l="1"/>
  <c r="G235" i="18" l="1"/>
  <c r="I235" i="18" l="1"/>
  <c r="C236" i="18" s="1"/>
  <c r="H236" i="18" l="1"/>
  <c r="J236" i="18" s="1"/>
  <c r="E236" i="18"/>
  <c r="F236" i="18" l="1"/>
  <c r="G236" i="18" l="1"/>
  <c r="I236" i="18" l="1"/>
  <c r="C237" i="18" s="1"/>
  <c r="H237" i="18" l="1"/>
  <c r="J237" i="18" s="1"/>
  <c r="E237" i="18"/>
  <c r="F237" i="18" l="1"/>
  <c r="G237" i="18" l="1"/>
  <c r="I237" i="18" l="1"/>
  <c r="C238" i="18" s="1"/>
  <c r="H238" i="18" l="1"/>
  <c r="J238" i="18" s="1"/>
  <c r="E238" i="18"/>
  <c r="F238" i="18" l="1"/>
  <c r="G238" i="18" l="1"/>
  <c r="I238" i="18" l="1"/>
  <c r="C239" i="18" s="1"/>
  <c r="H239" i="18" l="1"/>
  <c r="J239" i="18" s="1"/>
  <c r="E239" i="18"/>
  <c r="F239" i="18" l="1"/>
  <c r="G239" i="18" l="1"/>
  <c r="I239" i="18" l="1"/>
  <c r="C240" i="18" s="1"/>
  <c r="E240" i="18" l="1"/>
  <c r="H240" i="18"/>
  <c r="J240" i="18" s="1"/>
  <c r="F240" i="18" l="1"/>
  <c r="G240" i="18" l="1"/>
  <c r="I240" i="18" l="1"/>
  <c r="C241" i="18" s="1"/>
  <c r="H241" i="18" l="1"/>
  <c r="J241" i="18" s="1"/>
  <c r="E241" i="18"/>
  <c r="F241" i="18" l="1"/>
  <c r="G241" i="18" l="1"/>
  <c r="I241" i="18" l="1"/>
  <c r="C242" i="18" s="1"/>
  <c r="E242" i="18" l="1"/>
  <c r="H242" i="18"/>
  <c r="J242" i="18" s="1"/>
  <c r="F242" i="18" l="1"/>
  <c r="G242" i="18" l="1"/>
  <c r="I242" i="18" l="1"/>
  <c r="C243" i="18" s="1"/>
  <c r="E243" i="18" l="1"/>
  <c r="H243" i="18"/>
  <c r="J243" i="18" s="1"/>
  <c r="F243" i="18" l="1"/>
  <c r="G243" i="18" l="1"/>
  <c r="I243" i="18" l="1"/>
  <c r="C244" i="18" s="1"/>
  <c r="E244" i="18" l="1"/>
  <c r="H244" i="18"/>
  <c r="J244" i="18" s="1"/>
  <c r="F244" i="18" l="1"/>
  <c r="G244" i="18" l="1"/>
  <c r="I244" i="18" l="1"/>
  <c r="C245" i="18" s="1"/>
  <c r="E245" i="18" l="1"/>
  <c r="H245" i="18"/>
  <c r="J245" i="18" s="1"/>
  <c r="F245" i="18" l="1"/>
  <c r="G245" i="18" l="1"/>
  <c r="I245" i="18" l="1"/>
  <c r="C246" i="18" s="1"/>
  <c r="H246" i="18" l="1"/>
  <c r="J246" i="18" s="1"/>
  <c r="E246" i="18"/>
  <c r="F246" i="18" l="1"/>
  <c r="G246" i="18" l="1"/>
  <c r="I246" i="18" l="1"/>
  <c r="C247" i="18" s="1"/>
  <c r="E247" i="18" l="1"/>
  <c r="H247" i="18"/>
  <c r="J247" i="18" s="1"/>
  <c r="F247" i="18" l="1"/>
  <c r="G247" i="18" l="1"/>
  <c r="I247" i="18" l="1"/>
  <c r="C248" i="18" s="1"/>
  <c r="E248" i="18" l="1"/>
  <c r="H248" i="18"/>
  <c r="J248" i="18" s="1"/>
  <c r="F248" i="18" l="1"/>
  <c r="G248" i="18" l="1"/>
  <c r="I248" i="18" l="1"/>
  <c r="C249" i="18" s="1"/>
  <c r="H249" i="18" l="1"/>
  <c r="J249" i="18" s="1"/>
  <c r="E249" i="18"/>
  <c r="F249" i="18" l="1"/>
  <c r="G249" i="18" l="1"/>
  <c r="I249" i="18" l="1"/>
  <c r="C250" i="18" s="1"/>
  <c r="E250" i="18" l="1"/>
  <c r="H250" i="18"/>
  <c r="J250" i="18" s="1"/>
  <c r="F250" i="18" l="1"/>
  <c r="G250" i="18" l="1"/>
  <c r="I250" i="18" l="1"/>
  <c r="C251" i="18" s="1"/>
  <c r="E251" i="18" l="1"/>
  <c r="H251" i="18"/>
  <c r="J251" i="18" s="1"/>
  <c r="F251" i="18" l="1"/>
  <c r="G251" i="18" l="1"/>
  <c r="I251" i="18" l="1"/>
  <c r="C252" i="18" s="1"/>
  <c r="E252" i="18" l="1"/>
  <c r="H252" i="18"/>
  <c r="J252" i="18" s="1"/>
  <c r="F252" i="18" l="1"/>
  <c r="G252" i="18" l="1"/>
  <c r="I252" i="18" l="1"/>
  <c r="C253" i="18" s="1"/>
  <c r="E253" i="18" l="1"/>
  <c r="H253" i="18"/>
  <c r="J253" i="18" s="1"/>
  <c r="F253" i="18" l="1"/>
  <c r="G253" i="18" l="1"/>
  <c r="I253" i="18" l="1"/>
  <c r="C254" i="18" s="1"/>
  <c r="E254" i="18" l="1"/>
  <c r="H254" i="18"/>
  <c r="J254" i="18" s="1"/>
  <c r="F254" i="18" l="1"/>
  <c r="G254" i="18" l="1"/>
  <c r="I254" i="18" l="1"/>
  <c r="C255" i="18" s="1"/>
  <c r="E255" i="18" l="1"/>
  <c r="H255" i="18"/>
  <c r="J255" i="18" s="1"/>
  <c r="F255" i="18" l="1"/>
  <c r="G255" i="18" l="1"/>
  <c r="I255" i="18" l="1"/>
  <c r="C256" i="18" s="1"/>
  <c r="E256" i="18" l="1"/>
  <c r="H256" i="18"/>
  <c r="J256" i="18" s="1"/>
  <c r="F256" i="18" l="1"/>
  <c r="G256" i="18" l="1"/>
  <c r="I256" i="18" l="1"/>
  <c r="C257" i="18" s="1"/>
  <c r="E257" i="18" l="1"/>
  <c r="H257" i="18"/>
  <c r="J257" i="18" s="1"/>
  <c r="F257" i="18" l="1"/>
  <c r="G257" i="18" l="1"/>
  <c r="I257" i="18" l="1"/>
  <c r="C258" i="18" s="1"/>
  <c r="E258" i="18" l="1"/>
  <c r="H258" i="18"/>
  <c r="J258" i="18" s="1"/>
  <c r="F258" i="18" l="1"/>
  <c r="G258" i="18" l="1"/>
  <c r="I258" i="18" l="1"/>
  <c r="C259" i="18" s="1"/>
  <c r="H259" i="18" l="1"/>
  <c r="J259" i="18" s="1"/>
  <c r="E259" i="18"/>
  <c r="F259" i="18" l="1"/>
  <c r="G259" i="18" l="1"/>
  <c r="I259" i="18" l="1"/>
  <c r="C260" i="18" s="1"/>
  <c r="E260" i="18" l="1"/>
  <c r="H260" i="18"/>
  <c r="J260" i="18" s="1"/>
  <c r="F260" i="18" l="1"/>
  <c r="G260" i="18" l="1"/>
  <c r="I260" i="18" l="1"/>
  <c r="C261" i="18" s="1"/>
  <c r="H261" i="18" l="1"/>
  <c r="J261" i="18" s="1"/>
  <c r="E261" i="18"/>
  <c r="F261" i="18" l="1"/>
  <c r="G261" i="18" l="1"/>
  <c r="I261" i="18" l="1"/>
  <c r="C262" i="18" s="1"/>
  <c r="E262" i="18" l="1"/>
  <c r="H262" i="18"/>
  <c r="J262" i="18" s="1"/>
  <c r="F262" i="18" l="1"/>
  <c r="G262" i="18" l="1"/>
  <c r="I262" i="18" l="1"/>
  <c r="C263" i="18" s="1"/>
  <c r="H263" i="18" l="1"/>
  <c r="J263" i="18" s="1"/>
  <c r="E263" i="18"/>
  <c r="F263" i="18" l="1"/>
  <c r="G263" i="18" l="1"/>
  <c r="I263" i="18" l="1"/>
  <c r="C264" i="18" s="1"/>
  <c r="E264" i="18" l="1"/>
  <c r="H264" i="18"/>
  <c r="J264" i="18" s="1"/>
  <c r="F264" i="18" l="1"/>
  <c r="G264" i="18" l="1"/>
  <c r="I264" i="18" l="1"/>
  <c r="C265" i="18" s="1"/>
  <c r="E265" i="18" l="1"/>
  <c r="H265" i="18"/>
  <c r="J265" i="18" s="1"/>
  <c r="F265" i="18" l="1"/>
  <c r="G265" i="18" l="1"/>
  <c r="I265" i="18" l="1"/>
  <c r="C266" i="18" s="1"/>
  <c r="H266" i="18" l="1"/>
  <c r="J266" i="18" s="1"/>
  <c r="E266" i="18"/>
  <c r="F266" i="18" l="1"/>
  <c r="G266" i="18" l="1"/>
  <c r="I266" i="18" l="1"/>
  <c r="C267" i="18" s="1"/>
  <c r="E267" i="18" l="1"/>
  <c r="H267" i="18"/>
  <c r="J267" i="18" s="1"/>
  <c r="F267" i="18" l="1"/>
  <c r="G267" i="18" l="1"/>
  <c r="I267" i="18" l="1"/>
  <c r="C268" i="18" s="1"/>
  <c r="E268" i="18" l="1"/>
  <c r="H268" i="18"/>
  <c r="J268" i="18" s="1"/>
  <c r="F268" i="18" l="1"/>
  <c r="G268" i="18" l="1"/>
  <c r="I268" i="18" l="1"/>
  <c r="C269" i="18" s="1"/>
  <c r="E269" i="18" l="1"/>
  <c r="H269" i="18"/>
  <c r="J269" i="18" s="1"/>
  <c r="F269" i="18" l="1"/>
  <c r="G269" i="18" l="1"/>
  <c r="I269" i="18" l="1"/>
  <c r="C270" i="18" s="1"/>
  <c r="E270" i="18" l="1"/>
  <c r="H270" i="18"/>
  <c r="J270" i="18" s="1"/>
  <c r="F270" i="18" l="1"/>
  <c r="G270" i="18" l="1"/>
  <c r="I270" i="18" l="1"/>
  <c r="C271" i="18" s="1"/>
  <c r="H271" i="18" l="1"/>
  <c r="J271" i="18" s="1"/>
  <c r="E271" i="18"/>
  <c r="F271" i="18" l="1"/>
  <c r="G271" i="18" l="1"/>
  <c r="I271" i="18" l="1"/>
  <c r="C272" i="18" s="1"/>
  <c r="H272" i="18" l="1"/>
  <c r="J272" i="18" s="1"/>
  <c r="E272" i="18"/>
  <c r="F272" i="18" l="1"/>
  <c r="G272" i="18" l="1"/>
  <c r="I272" i="18" l="1"/>
  <c r="C273" i="18" s="1"/>
  <c r="H273" i="18" l="1"/>
  <c r="J273" i="18" s="1"/>
  <c r="E273" i="18"/>
  <c r="F273" i="18" l="1"/>
  <c r="G273" i="18" l="1"/>
  <c r="I273" i="18" l="1"/>
  <c r="C274" i="18" s="1"/>
  <c r="E274" i="18" l="1"/>
  <c r="H274" i="18"/>
  <c r="J274" i="18" s="1"/>
  <c r="F274" i="18" l="1"/>
  <c r="G274" i="18" l="1"/>
  <c r="I274" i="18" l="1"/>
  <c r="C275" i="18" s="1"/>
  <c r="H275" i="18" l="1"/>
  <c r="J275" i="18" s="1"/>
  <c r="E275" i="18"/>
  <c r="F275" i="18" l="1"/>
  <c r="G275" i="18" l="1"/>
  <c r="I275" i="18" l="1"/>
  <c r="C276" i="18" s="1"/>
  <c r="E276" i="18" l="1"/>
  <c r="H276" i="18"/>
  <c r="J276" i="18" s="1"/>
  <c r="F276" i="18" l="1"/>
  <c r="G276" i="18" l="1"/>
  <c r="I276" i="18" l="1"/>
  <c r="C277" i="18" s="1"/>
  <c r="H277" i="18" l="1"/>
  <c r="J277" i="18" s="1"/>
  <c r="E277" i="18"/>
  <c r="F277" i="18" l="1"/>
  <c r="G277" i="18" l="1"/>
  <c r="I277" i="18" l="1"/>
  <c r="C278" i="18" s="1"/>
  <c r="E278" i="18" l="1"/>
  <c r="H278" i="18"/>
  <c r="J278" i="18" s="1"/>
  <c r="F278" i="18" l="1"/>
  <c r="G278" i="18" l="1"/>
  <c r="I278" i="18" l="1"/>
  <c r="C279" i="18" s="1"/>
  <c r="H279" i="18" l="1"/>
  <c r="J279" i="18" s="1"/>
  <c r="E279" i="18"/>
  <c r="F279" i="18" l="1"/>
  <c r="G279" i="18" l="1"/>
  <c r="I279" i="18" l="1"/>
  <c r="C280" i="18" s="1"/>
  <c r="E280" i="18" l="1"/>
  <c r="H280" i="18"/>
  <c r="J280" i="18" s="1"/>
  <c r="F280" i="18" l="1"/>
  <c r="G280" i="18" l="1"/>
  <c r="I280" i="18" l="1"/>
  <c r="C281" i="18" s="1"/>
  <c r="H281" i="18" l="1"/>
  <c r="J281" i="18" s="1"/>
  <c r="E281" i="18"/>
  <c r="F281" i="18" l="1"/>
  <c r="G281" i="18" l="1"/>
  <c r="I281" i="18" l="1"/>
  <c r="C282" i="18" s="1"/>
  <c r="H282" i="18" l="1"/>
  <c r="J282" i="18" s="1"/>
  <c r="E282" i="18"/>
  <c r="F282" i="18" l="1"/>
  <c r="G282" i="18" l="1"/>
  <c r="I282" i="18" l="1"/>
  <c r="C283" i="18" s="1"/>
  <c r="H283" i="18" l="1"/>
  <c r="J283" i="18" s="1"/>
  <c r="E283" i="18"/>
  <c r="F283" i="18" l="1"/>
  <c r="G283" i="18" l="1"/>
  <c r="I283" i="18" l="1"/>
  <c r="C284" i="18" s="1"/>
  <c r="H284" i="18" l="1"/>
  <c r="J284" i="18" s="1"/>
  <c r="E284" i="18"/>
  <c r="F284" i="18" l="1"/>
  <c r="G284" i="18" l="1"/>
  <c r="I284" i="18" l="1"/>
  <c r="C285" i="18" s="1"/>
  <c r="H285" i="18" l="1"/>
  <c r="J285" i="18" s="1"/>
  <c r="E285" i="18"/>
  <c r="F285" i="18" l="1"/>
  <c r="G285" i="18" l="1"/>
  <c r="I285" i="18" l="1"/>
  <c r="C286" i="18" s="1"/>
  <c r="E286" i="18" l="1"/>
  <c r="H286" i="18"/>
  <c r="J286" i="18" s="1"/>
  <c r="F286" i="18" l="1"/>
  <c r="G286" i="18" l="1"/>
  <c r="I286" i="18" l="1"/>
  <c r="C287" i="18" s="1"/>
  <c r="H287" i="18" l="1"/>
  <c r="J287" i="18" s="1"/>
  <c r="E287" i="18"/>
  <c r="F287" i="18" l="1"/>
  <c r="G287" i="18" l="1"/>
  <c r="I287" i="18" l="1"/>
  <c r="C288" i="18" s="1"/>
  <c r="H288" i="18" l="1"/>
  <c r="J288" i="18" s="1"/>
  <c r="E288" i="18"/>
  <c r="F288" i="18" l="1"/>
  <c r="G288" i="18" l="1"/>
  <c r="I288" i="18" l="1"/>
  <c r="C289" i="18" s="1"/>
  <c r="H289" i="18" l="1"/>
  <c r="J289" i="18" s="1"/>
  <c r="E289" i="18"/>
  <c r="F289" i="18" l="1"/>
  <c r="G289" i="18" l="1"/>
  <c r="I289" i="18" l="1"/>
  <c r="C290" i="18" s="1"/>
  <c r="H290" i="18" l="1"/>
  <c r="J290" i="18" s="1"/>
  <c r="E290" i="18"/>
  <c r="F290" i="18" l="1"/>
  <c r="G290" i="18" l="1"/>
  <c r="I290" i="18" l="1"/>
  <c r="C291" i="18" s="1"/>
  <c r="E291" i="18" l="1"/>
  <c r="H291" i="18"/>
  <c r="J291" i="18" s="1"/>
  <c r="F291" i="18" l="1"/>
  <c r="G291" i="18" l="1"/>
  <c r="I291" i="18" l="1"/>
  <c r="C292" i="18" s="1"/>
  <c r="E292" i="18" l="1"/>
  <c r="H292" i="18"/>
  <c r="J292" i="18" s="1"/>
  <c r="F292" i="18" l="1"/>
  <c r="G292" i="18" l="1"/>
  <c r="I292" i="18" l="1"/>
  <c r="C293" i="18" s="1"/>
  <c r="H293" i="18" l="1"/>
  <c r="J293" i="18" s="1"/>
  <c r="E293" i="18"/>
  <c r="F293" i="18" l="1"/>
  <c r="G293" i="18" l="1"/>
  <c r="I293" i="18" l="1"/>
  <c r="C294" i="18" s="1"/>
  <c r="H294" i="18" l="1"/>
  <c r="J294" i="18" s="1"/>
  <c r="E294" i="18"/>
  <c r="F294" i="18" l="1"/>
  <c r="G294" i="18" l="1"/>
  <c r="I294" i="18" l="1"/>
  <c r="C295" i="18" s="1"/>
  <c r="H295" i="18" l="1"/>
  <c r="J295" i="18" s="1"/>
  <c r="E295" i="18"/>
  <c r="F295" i="18" l="1"/>
  <c r="G295" i="18" l="1"/>
  <c r="I295" i="18" l="1"/>
  <c r="C296" i="18" s="1"/>
  <c r="H296" i="18" l="1"/>
  <c r="J296" i="18" s="1"/>
  <c r="E296" i="18"/>
  <c r="F296" i="18" l="1"/>
  <c r="G296" i="18" l="1"/>
  <c r="I296" i="18" l="1"/>
  <c r="C297" i="18" s="1"/>
  <c r="H297" i="18" l="1"/>
  <c r="J297" i="18" s="1"/>
  <c r="E297" i="18"/>
  <c r="F297" i="18" l="1"/>
  <c r="G297" i="18" l="1"/>
  <c r="I297" i="18" l="1"/>
  <c r="C298" i="18" s="1"/>
  <c r="H298" i="18" l="1"/>
  <c r="J298" i="18" s="1"/>
  <c r="E298" i="18"/>
  <c r="F298" i="18" l="1"/>
  <c r="G298" i="18" l="1"/>
  <c r="I298" i="18" l="1"/>
  <c r="C299" i="18" s="1"/>
  <c r="H299" i="18" l="1"/>
  <c r="J299" i="18" s="1"/>
  <c r="E299" i="18"/>
  <c r="F299" i="18" l="1"/>
  <c r="G299" i="18" l="1"/>
  <c r="I299" i="18" l="1"/>
  <c r="C300" i="18" s="1"/>
  <c r="H300" i="18" l="1"/>
  <c r="J300" i="18" s="1"/>
  <c r="E300" i="18"/>
  <c r="F300" i="18" l="1"/>
  <c r="G300" i="18" l="1"/>
  <c r="I300" i="18" l="1"/>
  <c r="C301" i="18" s="1"/>
  <c r="H301" i="18" l="1"/>
  <c r="J301" i="18" s="1"/>
  <c r="E301" i="18"/>
  <c r="F301" i="18" l="1"/>
  <c r="G301" i="18" l="1"/>
  <c r="I301" i="18" l="1"/>
  <c r="C302" i="18" s="1"/>
  <c r="H302" i="18" l="1"/>
  <c r="J302" i="18" s="1"/>
  <c r="E302" i="18"/>
  <c r="F302" i="18" l="1"/>
  <c r="G302" i="18" l="1"/>
  <c r="I302" i="18" l="1"/>
  <c r="C303" i="18" s="1"/>
  <c r="H303" i="18" l="1"/>
  <c r="J303" i="18" s="1"/>
  <c r="E303" i="18"/>
  <c r="F303" i="18" l="1"/>
  <c r="G303" i="18" l="1"/>
  <c r="I303" i="18" l="1"/>
  <c r="C304" i="18" s="1"/>
  <c r="H304" i="18" l="1"/>
  <c r="J304" i="18" s="1"/>
  <c r="E304" i="18"/>
  <c r="F304" i="18" l="1"/>
  <c r="G304" i="18" l="1"/>
  <c r="I304" i="18" l="1"/>
  <c r="C305" i="18" s="1"/>
  <c r="H305" i="18" l="1"/>
  <c r="J305" i="18" s="1"/>
  <c r="E305" i="18"/>
  <c r="F305" i="18" l="1"/>
  <c r="G305" i="18" l="1"/>
  <c r="I305" i="18" l="1"/>
  <c r="C306" i="18" s="1"/>
  <c r="H306" i="18" l="1"/>
  <c r="J306" i="18" s="1"/>
  <c r="E306" i="18"/>
  <c r="F306" i="18" l="1"/>
  <c r="G306" i="18" l="1"/>
  <c r="I306" i="18" l="1"/>
  <c r="C307" i="18" s="1"/>
  <c r="E307" i="18" l="1"/>
  <c r="H307" i="18"/>
  <c r="J307" i="18" s="1"/>
  <c r="F307" i="18" l="1"/>
  <c r="G307" i="18" l="1"/>
  <c r="I307" i="18" l="1"/>
  <c r="C308" i="18" s="1"/>
  <c r="E308" i="18" l="1"/>
  <c r="H308" i="18"/>
  <c r="J308" i="18" s="1"/>
  <c r="F308" i="18" l="1"/>
  <c r="G308" i="18" l="1"/>
  <c r="I308" i="18" l="1"/>
  <c r="C309" i="18" s="1"/>
  <c r="H309" i="18" l="1"/>
  <c r="J309" i="18" s="1"/>
  <c r="E309" i="18"/>
  <c r="F309" i="18" l="1"/>
  <c r="G309" i="18" l="1"/>
  <c r="I309" i="18" l="1"/>
  <c r="C310" i="18" s="1"/>
  <c r="E310" i="18" l="1"/>
  <c r="H310" i="18"/>
  <c r="J310" i="18" s="1"/>
  <c r="F310" i="18" l="1"/>
  <c r="G310" i="18" l="1"/>
  <c r="I310" i="18" l="1"/>
  <c r="C311" i="18" s="1"/>
  <c r="H311" i="18" l="1"/>
  <c r="J311" i="18" s="1"/>
  <c r="E311" i="18"/>
  <c r="F311" i="18" l="1"/>
  <c r="G311" i="18" l="1"/>
  <c r="I311" i="18" l="1"/>
  <c r="C312" i="18" s="1"/>
  <c r="H312" i="18" l="1"/>
  <c r="J312" i="18" s="1"/>
  <c r="E312" i="18"/>
  <c r="F312" i="18" l="1"/>
  <c r="G312" i="18" l="1"/>
  <c r="I312" i="18" l="1"/>
  <c r="C313" i="18" s="1"/>
  <c r="H313" i="18" l="1"/>
  <c r="J313" i="18" s="1"/>
  <c r="E313" i="18"/>
  <c r="F313" i="18" l="1"/>
  <c r="G313" i="18" l="1"/>
  <c r="I313" i="18" l="1"/>
  <c r="C314" i="18" s="1"/>
  <c r="H314" i="18" l="1"/>
  <c r="J314" i="18" s="1"/>
  <c r="E314" i="18"/>
  <c r="F314" i="18" l="1"/>
  <c r="G314" i="18" l="1"/>
  <c r="I314" i="18" l="1"/>
  <c r="C315" i="18" s="1"/>
  <c r="H315" i="18" l="1"/>
  <c r="J315" i="18" s="1"/>
  <c r="E315" i="18"/>
  <c r="F315" i="18" l="1"/>
  <c r="G315" i="18" l="1"/>
  <c r="I315" i="18" l="1"/>
  <c r="C316" i="18" s="1"/>
  <c r="H316" i="18" l="1"/>
  <c r="J316" i="18" s="1"/>
  <c r="E316" i="18"/>
  <c r="F316" i="18" l="1"/>
  <c r="G316" i="18" l="1"/>
  <c r="I316" i="18" l="1"/>
  <c r="C317" i="18" s="1"/>
  <c r="H317" i="18" l="1"/>
  <c r="J317" i="18" s="1"/>
  <c r="E317" i="18"/>
  <c r="F317" i="18" l="1"/>
  <c r="G317" i="18" l="1"/>
  <c r="I317" i="18" l="1"/>
  <c r="C318" i="18" s="1"/>
  <c r="E318" i="18" l="1"/>
  <c r="H318" i="18"/>
  <c r="J318" i="18" s="1"/>
  <c r="F318" i="18" l="1"/>
  <c r="G318" i="18" l="1"/>
  <c r="I318" i="18" l="1"/>
  <c r="C319" i="18" s="1"/>
  <c r="E319" i="18" l="1"/>
  <c r="H319" i="18"/>
  <c r="J319" i="18" s="1"/>
  <c r="F319" i="18" l="1"/>
  <c r="G319" i="18" l="1"/>
  <c r="I319" i="18" l="1"/>
  <c r="C320" i="18" s="1"/>
  <c r="E320" i="18" l="1"/>
  <c r="H320" i="18"/>
  <c r="J320" i="18" s="1"/>
  <c r="F320" i="18" l="1"/>
  <c r="G320" i="18" l="1"/>
  <c r="I320" i="18" l="1"/>
  <c r="C321" i="18" s="1"/>
  <c r="H321" i="18" l="1"/>
  <c r="J321" i="18" s="1"/>
  <c r="E321" i="18"/>
  <c r="F321" i="18" l="1"/>
  <c r="G321" i="18" l="1"/>
  <c r="I321" i="18" l="1"/>
  <c r="C322" i="18" s="1"/>
  <c r="E322" i="18" l="1"/>
  <c r="H322" i="18"/>
  <c r="J322" i="18" s="1"/>
  <c r="F322" i="18" l="1"/>
  <c r="G322" i="18" l="1"/>
  <c r="I322" i="18" l="1"/>
  <c r="C323" i="18" s="1"/>
  <c r="E323" i="18" l="1"/>
  <c r="H323" i="18"/>
  <c r="J323" i="18" s="1"/>
  <c r="F323" i="18" l="1"/>
  <c r="G323" i="18" l="1"/>
  <c r="I323" i="18" l="1"/>
  <c r="C324" i="18" s="1"/>
  <c r="E324" i="18" l="1"/>
  <c r="H324" i="18"/>
  <c r="J324" i="18" s="1"/>
  <c r="F324" i="18" l="1"/>
  <c r="G324" i="18" l="1"/>
  <c r="I324" i="18" l="1"/>
  <c r="C325" i="18" s="1"/>
  <c r="H325" i="18" l="1"/>
  <c r="J325" i="18" s="1"/>
  <c r="E325" i="18"/>
  <c r="F325" i="18" l="1"/>
  <c r="G325" i="18" l="1"/>
  <c r="I325" i="18" l="1"/>
  <c r="C326" i="18" s="1"/>
  <c r="H326" i="18" l="1"/>
  <c r="J326" i="18" s="1"/>
  <c r="E326" i="18"/>
  <c r="F326" i="18" l="1"/>
  <c r="G326" i="18" l="1"/>
  <c r="I326" i="18" l="1"/>
  <c r="C327" i="18" s="1"/>
  <c r="H327" i="18" l="1"/>
  <c r="J327" i="18" s="1"/>
  <c r="E327" i="18"/>
  <c r="F327" i="18" l="1"/>
  <c r="G327" i="18" l="1"/>
  <c r="I327" i="18" l="1"/>
  <c r="C328" i="18" s="1"/>
  <c r="H328" i="18" l="1"/>
  <c r="J328" i="18" s="1"/>
  <c r="E328" i="18"/>
  <c r="F328" i="18" l="1"/>
  <c r="G328" i="18" l="1"/>
  <c r="I328" i="18" l="1"/>
  <c r="C329" i="18" s="1"/>
  <c r="H329" i="18" l="1"/>
  <c r="J329" i="18" s="1"/>
  <c r="E329" i="18"/>
  <c r="F329" i="18" l="1"/>
  <c r="G329" i="18" l="1"/>
  <c r="I329" i="18" l="1"/>
  <c r="C330" i="18" s="1"/>
  <c r="H330" i="18" l="1"/>
  <c r="J330" i="18" s="1"/>
  <c r="E330" i="18"/>
  <c r="F330" i="18" l="1"/>
  <c r="G330" i="18" l="1"/>
  <c r="I330" i="18" l="1"/>
  <c r="C331" i="18" s="1"/>
  <c r="H331" i="18" l="1"/>
  <c r="J331" i="18" s="1"/>
  <c r="E331" i="18"/>
  <c r="F331" i="18" l="1"/>
  <c r="G331" i="18" l="1"/>
  <c r="I331" i="18" l="1"/>
  <c r="C332" i="18" s="1"/>
  <c r="H332" i="18" l="1"/>
  <c r="J332" i="18" s="1"/>
  <c r="E332" i="18"/>
  <c r="F332" i="18" l="1"/>
  <c r="G332" i="18" l="1"/>
  <c r="I332" i="18" l="1"/>
  <c r="C333" i="18" s="1"/>
  <c r="H333" i="18" l="1"/>
  <c r="J333" i="18" s="1"/>
  <c r="E333" i="18"/>
  <c r="F333" i="18" l="1"/>
  <c r="G333" i="18" l="1"/>
  <c r="I333" i="18" l="1"/>
  <c r="C334" i="18" s="1"/>
  <c r="E334" i="18" l="1"/>
  <c r="H334" i="18"/>
  <c r="J334" i="18" s="1"/>
  <c r="F334" i="18" l="1"/>
  <c r="G334" i="18" l="1"/>
  <c r="I334" i="18" l="1"/>
  <c r="C335" i="18" s="1"/>
  <c r="H335" i="18" l="1"/>
  <c r="J335" i="18" s="1"/>
  <c r="E335" i="18"/>
  <c r="F335" i="18" l="1"/>
  <c r="G335" i="18" l="1"/>
  <c r="I335" i="18" l="1"/>
  <c r="C336" i="18" s="1"/>
  <c r="H336" i="18" l="1"/>
  <c r="J336" i="18" s="1"/>
  <c r="E336" i="18"/>
  <c r="F336" i="18" l="1"/>
  <c r="G336" i="18" l="1"/>
  <c r="I336" i="18" l="1"/>
  <c r="C337" i="18" s="1"/>
  <c r="H337" i="18" l="1"/>
  <c r="J337" i="18" s="1"/>
  <c r="E337" i="18"/>
  <c r="F337" i="18" l="1"/>
  <c r="G337" i="18" l="1"/>
  <c r="I337" i="18" l="1"/>
  <c r="C338" i="18" s="1"/>
  <c r="H338" i="18" l="1"/>
  <c r="J338" i="18" s="1"/>
  <c r="E338" i="18"/>
  <c r="F338" i="18" l="1"/>
  <c r="G338" i="18" l="1"/>
  <c r="I338" i="18" l="1"/>
  <c r="C339" i="18" s="1"/>
  <c r="H339" i="18" l="1"/>
  <c r="J339" i="18" s="1"/>
  <c r="E339" i="18"/>
  <c r="F339" i="18" l="1"/>
  <c r="G339" i="18" l="1"/>
  <c r="I339" i="18" l="1"/>
  <c r="C340" i="18" s="1"/>
  <c r="H340" i="18" l="1"/>
  <c r="J340" i="18" s="1"/>
  <c r="E340" i="18"/>
  <c r="F340" i="18" l="1"/>
  <c r="G340" i="18" l="1"/>
  <c r="I340" i="18" l="1"/>
  <c r="C341" i="18" s="1"/>
  <c r="H341" i="18" l="1"/>
  <c r="J341" i="18" s="1"/>
  <c r="E341" i="18"/>
  <c r="F341" i="18" l="1"/>
  <c r="G341" i="18" l="1"/>
  <c r="I341" i="18" l="1"/>
  <c r="C342" i="18" s="1"/>
  <c r="E342" i="18" l="1"/>
  <c r="H342" i="18"/>
  <c r="J342" i="18" s="1"/>
  <c r="F342" i="18" l="1"/>
  <c r="G342" i="18" l="1"/>
  <c r="I342" i="18" l="1"/>
  <c r="C343" i="18" s="1"/>
  <c r="E343" i="18" l="1"/>
  <c r="H343" i="18"/>
  <c r="J343" i="18" s="1"/>
  <c r="F343" i="18" l="1"/>
  <c r="G343" i="18" l="1"/>
  <c r="I343" i="18" l="1"/>
  <c r="C344" i="18" s="1"/>
  <c r="E344" i="18" l="1"/>
  <c r="H344" i="18"/>
  <c r="J344" i="18" s="1"/>
  <c r="F344" i="18" l="1"/>
  <c r="G344" i="18" l="1"/>
  <c r="I344" i="18" l="1"/>
  <c r="C345" i="18" s="1"/>
  <c r="H345" i="18" l="1"/>
  <c r="J345" i="18" s="1"/>
  <c r="E345" i="18"/>
  <c r="F345" i="18" l="1"/>
  <c r="G345" i="18" l="1"/>
  <c r="I345" i="18" l="1"/>
  <c r="C346" i="18" s="1"/>
  <c r="H346" i="18" l="1"/>
  <c r="J346" i="18" s="1"/>
  <c r="E346" i="18"/>
  <c r="F346" i="18" l="1"/>
  <c r="G346" i="18" l="1"/>
  <c r="I346" i="18" l="1"/>
  <c r="C347" i="18" s="1"/>
  <c r="H347" i="18" l="1"/>
  <c r="J347" i="18" s="1"/>
  <c r="E347" i="18"/>
  <c r="F347" i="18" l="1"/>
  <c r="G347" i="18" l="1"/>
  <c r="I347" i="18" l="1"/>
  <c r="C348" i="18" s="1"/>
  <c r="H348" i="18" l="1"/>
  <c r="J348" i="18" s="1"/>
  <c r="E348" i="18"/>
  <c r="F348" i="18" l="1"/>
  <c r="G348" i="18" l="1"/>
  <c r="I348" i="18" l="1"/>
  <c r="C349" i="18" s="1"/>
  <c r="H349" i="18" l="1"/>
  <c r="J349" i="18" s="1"/>
  <c r="E349" i="18"/>
  <c r="F349" i="18" l="1"/>
  <c r="G349" i="18" l="1"/>
  <c r="I349" i="18" l="1"/>
  <c r="C350" i="18" s="1"/>
  <c r="H350" i="18" l="1"/>
  <c r="J350" i="18" s="1"/>
  <c r="E350" i="18"/>
  <c r="F350" i="18" l="1"/>
  <c r="G350" i="18" l="1"/>
  <c r="I350" i="18" l="1"/>
  <c r="C351" i="18" s="1"/>
  <c r="H351" i="18" l="1"/>
  <c r="J351" i="18" s="1"/>
  <c r="E351" i="18"/>
  <c r="F351" i="18" l="1"/>
  <c r="G351" i="18" l="1"/>
  <c r="I351" i="18" l="1"/>
  <c r="C352" i="18" s="1"/>
  <c r="H352" i="18" l="1"/>
  <c r="J352" i="18" s="1"/>
  <c r="E352" i="18"/>
  <c r="F352" i="18" l="1"/>
  <c r="G352" i="18" l="1"/>
  <c r="I352" i="18" l="1"/>
  <c r="C353" i="18" s="1"/>
  <c r="H353" i="18" l="1"/>
  <c r="J353" i="18" s="1"/>
  <c r="E353" i="18"/>
  <c r="F353" i="18" l="1"/>
  <c r="G353" i="18" l="1"/>
  <c r="I353" i="18" l="1"/>
  <c r="C354" i="18" s="1"/>
  <c r="H354" i="18" l="1"/>
  <c r="J354" i="18" s="1"/>
  <c r="E354" i="18"/>
  <c r="F354" i="18" l="1"/>
  <c r="G354" i="18" l="1"/>
  <c r="I354" i="18" l="1"/>
  <c r="C355" i="18" s="1"/>
  <c r="H355" i="18" l="1"/>
  <c r="J355" i="18" s="1"/>
  <c r="E355" i="18"/>
  <c r="F355" i="18" l="1"/>
  <c r="G355" i="18" l="1"/>
  <c r="I355" i="18" l="1"/>
  <c r="C356" i="18" s="1"/>
  <c r="H356" i="18" l="1"/>
  <c r="J356" i="18" s="1"/>
  <c r="E356" i="18"/>
  <c r="F356" i="18" l="1"/>
  <c r="G356" i="18" l="1"/>
  <c r="I356" i="18" l="1"/>
  <c r="C357" i="18" s="1"/>
  <c r="H357" i="18" l="1"/>
  <c r="J357" i="18" s="1"/>
  <c r="E357" i="18"/>
  <c r="F357" i="18" l="1"/>
  <c r="G357" i="18" l="1"/>
  <c r="I357" i="18" l="1"/>
  <c r="C358" i="18" s="1"/>
  <c r="H358" i="18" l="1"/>
  <c r="J358" i="18" s="1"/>
  <c r="E358" i="18"/>
  <c r="F358" i="18" l="1"/>
  <c r="G358" i="18" l="1"/>
  <c r="I358" i="18" l="1"/>
  <c r="C359" i="18" s="1"/>
  <c r="H359" i="18" l="1"/>
  <c r="J359" i="18" s="1"/>
  <c r="E359" i="18"/>
  <c r="F359" i="18" l="1"/>
  <c r="G359" i="18" l="1"/>
  <c r="I359" i="18" l="1"/>
  <c r="C360" i="18" s="1"/>
  <c r="H360" i="18" l="1"/>
  <c r="J360" i="18" s="1"/>
  <c r="E360" i="18"/>
  <c r="F360" i="18" l="1"/>
  <c r="G360" i="18" l="1"/>
  <c r="I360" i="18" l="1"/>
  <c r="C361" i="18" s="1"/>
  <c r="H361" i="18" l="1"/>
  <c r="J361" i="18" s="1"/>
  <c r="E361" i="18"/>
  <c r="F361" i="18" l="1"/>
  <c r="G361" i="18" l="1"/>
  <c r="I361" i="18" l="1"/>
  <c r="C362" i="18" s="1"/>
  <c r="H362" i="18" l="1"/>
  <c r="J362" i="18" s="1"/>
  <c r="E362" i="18"/>
  <c r="F362" i="18" l="1"/>
  <c r="G362" i="18" l="1"/>
  <c r="I362" i="18" l="1"/>
  <c r="C363" i="18" s="1"/>
  <c r="E363" i="18" s="1"/>
  <c r="H363" i="18" l="1"/>
  <c r="J363" i="18" s="1"/>
  <c r="F363" i="18" l="1"/>
  <c r="G363" i="18" l="1"/>
  <c r="I363" i="18" l="1"/>
  <c r="C364" i="18" s="1"/>
  <c r="E364" i="18" l="1"/>
  <c r="H364" i="18"/>
  <c r="J364" i="18" s="1"/>
  <c r="F364" i="18" l="1"/>
  <c r="G364" i="18" l="1"/>
  <c r="I364" i="18" l="1"/>
  <c r="C365" i="18" s="1"/>
  <c r="E365" i="18" l="1"/>
  <c r="H365" i="18"/>
  <c r="J365" i="18" s="1"/>
  <c r="F365" i="18" l="1"/>
  <c r="G365" i="18" l="1"/>
  <c r="I365" i="18" l="1"/>
  <c r="C366" i="18" s="1"/>
  <c r="H366" i="18" l="1"/>
  <c r="J366" i="18" s="1"/>
  <c r="E366" i="18"/>
  <c r="F366" i="18" l="1"/>
  <c r="G366" i="18" l="1"/>
  <c r="I366" i="18" l="1"/>
  <c r="C367" i="18" s="1"/>
  <c r="H367" i="18" l="1"/>
  <c r="J367" i="18" s="1"/>
  <c r="E367" i="18"/>
  <c r="F367" i="18" l="1"/>
  <c r="G367" i="18" l="1"/>
  <c r="I367" i="18" l="1"/>
  <c r="C368" i="18" s="1"/>
  <c r="H368" i="18" l="1"/>
  <c r="J368" i="18" s="1"/>
  <c r="E368" i="18"/>
  <c r="F368" i="18" l="1"/>
  <c r="G368" i="18" l="1"/>
  <c r="I368" i="18" l="1"/>
  <c r="C369" i="18" s="1"/>
  <c r="E369" i="18" l="1"/>
  <c r="H369" i="18"/>
  <c r="J369" i="18" s="1"/>
  <c r="F369" i="18" l="1"/>
  <c r="G369" i="18" l="1"/>
  <c r="I369" i="18" l="1"/>
  <c r="C370" i="18" s="1"/>
  <c r="H370" i="18" l="1"/>
  <c r="J370" i="18" s="1"/>
  <c r="E370" i="18"/>
  <c r="F370" i="18" l="1"/>
  <c r="G370" i="18" l="1"/>
  <c r="I370" i="18" l="1"/>
  <c r="C371" i="18" s="1"/>
  <c r="H371" i="18" l="1"/>
  <c r="J371" i="18" s="1"/>
  <c r="E371" i="18"/>
  <c r="F371" i="18" l="1"/>
  <c r="G371" i="18" l="1"/>
  <c r="I371" i="18" l="1"/>
  <c r="C372" i="18" s="1"/>
  <c r="H372" i="18" l="1"/>
  <c r="J372" i="18" s="1"/>
  <c r="E372" i="18"/>
  <c r="F372" i="18" l="1"/>
  <c r="G372" i="18" l="1"/>
  <c r="I372" i="18" l="1"/>
  <c r="C373" i="18" s="1"/>
  <c r="E373" i="18" l="1"/>
  <c r="H373" i="18"/>
  <c r="J373" i="18" s="1"/>
  <c r="F373" i="18" l="1"/>
  <c r="G373" i="18" l="1"/>
  <c r="I373" i="18" l="1"/>
  <c r="C374" i="18" s="1"/>
  <c r="H374" i="18" l="1"/>
  <c r="J374" i="18" s="1"/>
  <c r="E374" i="18"/>
  <c r="F374" i="18" l="1"/>
  <c r="G374" i="18" l="1"/>
  <c r="I374" i="18" l="1"/>
  <c r="C375" i="18" s="1"/>
  <c r="E375" i="18" l="1"/>
  <c r="H375" i="18"/>
  <c r="J375" i="18" s="1"/>
  <c r="F375" i="18" l="1"/>
  <c r="G375" i="18" l="1"/>
  <c r="I375" i="18" l="1"/>
  <c r="C376" i="18" s="1"/>
  <c r="E376" i="18" l="1"/>
  <c r="H376" i="18"/>
  <c r="J376" i="18" s="1"/>
  <c r="F376" i="18" l="1"/>
  <c r="G376" i="18" l="1"/>
  <c r="I376" i="18" l="1"/>
  <c r="C377" i="18" s="1"/>
  <c r="H377" i="18" l="1"/>
  <c r="J377" i="18" s="1"/>
  <c r="E377" i="18"/>
  <c r="I377" i="18" l="1"/>
  <c r="C378" i="18" s="1"/>
  <c r="F377" i="18"/>
  <c r="G377" i="18" l="1"/>
  <c r="E378" i="18"/>
  <c r="H378" i="18"/>
  <c r="J378" i="18" s="1"/>
  <c r="F378" i="18" l="1"/>
  <c r="I378" i="18"/>
  <c r="C379" i="18" s="1"/>
  <c r="E379" i="18" l="1"/>
  <c r="H379" i="18"/>
  <c r="J379" i="18" s="1"/>
  <c r="G378" i="18"/>
  <c r="F379" i="18" l="1"/>
  <c r="I379" i="18"/>
  <c r="C380" i="18" s="1"/>
  <c r="E380" i="18" l="1"/>
  <c r="H380" i="18"/>
  <c r="J380" i="18" s="1"/>
  <c r="G379" i="18"/>
  <c r="F380" i="18" l="1"/>
  <c r="I380" i="18"/>
  <c r="C381" i="18" s="1"/>
  <c r="H381" i="18" l="1"/>
  <c r="J381" i="18" s="1"/>
  <c r="E381" i="18"/>
  <c r="G380" i="18"/>
  <c r="F381" i="18" l="1"/>
  <c r="I381" i="18"/>
  <c r="C382" i="18" s="1"/>
  <c r="E382" i="18" l="1"/>
  <c r="H382" i="18"/>
  <c r="J382" i="18" s="1"/>
  <c r="G381" i="18"/>
  <c r="I382" i="18" l="1"/>
  <c r="C383" i="18" s="1"/>
  <c r="F382" i="18"/>
  <c r="G382" i="18" l="1"/>
  <c r="E383" i="18"/>
  <c r="H383" i="18"/>
  <c r="J383" i="18" s="1"/>
  <c r="I383" i="18" l="1"/>
  <c r="C384" i="18" s="1"/>
  <c r="F383" i="18"/>
  <c r="G383" i="18" l="1"/>
  <c r="H384" i="18"/>
  <c r="J384" i="18" s="1"/>
  <c r="E384" i="18"/>
  <c r="I384" i="18" l="1"/>
  <c r="C385" i="18" s="1"/>
  <c r="F384" i="18"/>
  <c r="G384" i="18" l="1"/>
  <c r="H385" i="18"/>
  <c r="J385" i="18" s="1"/>
  <c r="E385" i="18"/>
  <c r="F385" i="18" l="1"/>
  <c r="I385" i="18"/>
  <c r="C386" i="18" s="1"/>
  <c r="H386" i="18" l="1"/>
  <c r="J386" i="18" s="1"/>
  <c r="E386" i="18"/>
  <c r="G385" i="18"/>
  <c r="F386" i="18" l="1"/>
  <c r="I386" i="18"/>
  <c r="C387" i="18" s="1"/>
  <c r="E387" i="18" l="1"/>
  <c r="H387" i="18"/>
  <c r="J387" i="18" s="1"/>
  <c r="G386" i="18"/>
  <c r="F387" i="18" l="1"/>
  <c r="I387" i="18"/>
  <c r="C388" i="18" s="1"/>
  <c r="E388" i="18" l="1"/>
  <c r="H388" i="18"/>
  <c r="J388" i="18" s="1"/>
  <c r="G387" i="18"/>
  <c r="F388" i="18" l="1"/>
  <c r="I388" i="18"/>
  <c r="C389" i="18" s="1"/>
  <c r="E389" i="18" l="1"/>
  <c r="H389" i="18"/>
  <c r="J389" i="18" s="1"/>
  <c r="G388" i="18"/>
  <c r="I389" i="18" l="1"/>
  <c r="C390" i="18" s="1"/>
  <c r="F389" i="18"/>
  <c r="G389" i="18" l="1"/>
  <c r="H390" i="18"/>
  <c r="J390" i="18" s="1"/>
  <c r="E390" i="18"/>
  <c r="I390" i="18" l="1"/>
  <c r="C391" i="18" s="1"/>
  <c r="F390" i="18"/>
  <c r="G390" i="18" l="1"/>
  <c r="H391" i="18"/>
  <c r="J391" i="18" s="1"/>
  <c r="E391" i="18"/>
  <c r="F391" i="18" l="1"/>
  <c r="I391" i="18"/>
  <c r="C392" i="18" s="1"/>
  <c r="E392" i="18" l="1"/>
  <c r="H392" i="18"/>
  <c r="J392" i="18" s="1"/>
  <c r="G391" i="18"/>
  <c r="I392" i="18" l="1"/>
  <c r="C393" i="18" s="1"/>
  <c r="F392" i="18"/>
  <c r="G392" i="18" l="1"/>
  <c r="H393" i="18"/>
  <c r="J393" i="18" s="1"/>
  <c r="E393" i="18"/>
  <c r="I393" i="18" l="1"/>
  <c r="C394" i="18" s="1"/>
  <c r="F393" i="18"/>
  <c r="E394" i="18" l="1"/>
  <c r="H394" i="18"/>
  <c r="J394" i="18" s="1"/>
  <c r="G393" i="18"/>
  <c r="F394" i="18" l="1"/>
  <c r="I394" i="18"/>
  <c r="C395" i="18" s="1"/>
  <c r="E395" i="18" l="1"/>
  <c r="H395" i="18"/>
  <c r="J395" i="18" s="1"/>
  <c r="G394" i="18"/>
  <c r="F395" i="18" l="1"/>
  <c r="I395" i="18"/>
  <c r="C396" i="18" s="1"/>
  <c r="E396" i="18" l="1"/>
  <c r="H396" i="18"/>
  <c r="J396" i="18" s="1"/>
  <c r="G395" i="18"/>
  <c r="F396" i="18" l="1"/>
  <c r="I396" i="18"/>
  <c r="C397" i="18" s="1"/>
  <c r="E397" i="18" l="1"/>
  <c r="H397" i="18"/>
  <c r="J397" i="18" s="1"/>
  <c r="G396" i="18"/>
  <c r="F397" i="18" l="1"/>
  <c r="I397" i="18"/>
  <c r="C398" i="18" s="1"/>
  <c r="H398" i="18" l="1"/>
  <c r="J398" i="18" s="1"/>
  <c r="E398" i="18"/>
  <c r="G397" i="18"/>
  <c r="F398" i="18" l="1"/>
  <c r="I398" i="18"/>
  <c r="C399" i="18" s="1"/>
  <c r="E399" i="18" l="1"/>
  <c r="H399" i="18"/>
  <c r="J399" i="18" s="1"/>
  <c r="G398" i="18"/>
  <c r="F399" i="18" l="1"/>
  <c r="I399" i="18"/>
  <c r="C400" i="18" s="1"/>
  <c r="E400" i="18" l="1"/>
  <c r="H400" i="18"/>
  <c r="J400" i="18" s="1"/>
  <c r="G399" i="18"/>
  <c r="I400" i="18" l="1"/>
  <c r="C401" i="18" s="1"/>
  <c r="F400" i="18"/>
  <c r="G400" i="18" l="1"/>
  <c r="H401" i="18"/>
  <c r="J401" i="18" s="1"/>
  <c r="E401" i="18"/>
  <c r="F401" i="18" l="1"/>
  <c r="I401" i="18"/>
  <c r="C402" i="18" s="1"/>
  <c r="G401" i="18" l="1"/>
  <c r="E402" i="18"/>
  <c r="H402" i="18"/>
  <c r="J402" i="18" s="1"/>
  <c r="I402" i="18" l="1"/>
  <c r="C403" i="18" s="1"/>
  <c r="F402" i="18"/>
  <c r="G402" i="18" l="1"/>
  <c r="H403" i="18"/>
  <c r="J403" i="18" s="1"/>
  <c r="E403" i="18"/>
  <c r="I403" i="18" l="1"/>
  <c r="C404" i="18" s="1"/>
  <c r="F403" i="18"/>
  <c r="G403" i="18" l="1"/>
  <c r="E404" i="18"/>
  <c r="H404" i="18"/>
  <c r="J404" i="18" s="1"/>
  <c r="I404" i="18" l="1"/>
  <c r="C405" i="18" s="1"/>
  <c r="F404" i="18"/>
  <c r="G404" i="18" l="1"/>
  <c r="H405" i="18"/>
  <c r="J405" i="18" s="1"/>
  <c r="E405" i="18"/>
  <c r="I405" i="18" l="1"/>
  <c r="C406" i="18" s="1"/>
  <c r="F405" i="18"/>
  <c r="E406" i="18" l="1"/>
  <c r="H406" i="18"/>
  <c r="J406" i="18" s="1"/>
  <c r="G405" i="18"/>
  <c r="I406" i="18" l="1"/>
  <c r="C407" i="18" s="1"/>
  <c r="F406" i="18"/>
  <c r="G406" i="18" l="1"/>
  <c r="H407" i="18"/>
  <c r="J407" i="18" s="1"/>
  <c r="E407" i="18"/>
  <c r="F407" i="18" l="1"/>
  <c r="I407" i="18"/>
  <c r="C408" i="18" s="1"/>
  <c r="E408" i="18" l="1"/>
  <c r="H408" i="18"/>
  <c r="J408" i="18" s="1"/>
  <c r="G407" i="18"/>
  <c r="I408" i="18" l="1"/>
  <c r="C409" i="18" s="1"/>
  <c r="F408" i="18"/>
  <c r="G408" i="18" l="1"/>
  <c r="H409" i="18"/>
  <c r="J409" i="18" s="1"/>
  <c r="E409" i="18"/>
  <c r="I409" i="18" l="1"/>
  <c r="C410" i="18" s="1"/>
  <c r="F409" i="18"/>
  <c r="G409" i="18" l="1"/>
  <c r="E410" i="18"/>
  <c r="H410" i="18"/>
  <c r="J410" i="18" s="1"/>
  <c r="F410" i="18" l="1"/>
  <c r="I410" i="18"/>
  <c r="C411" i="18" s="1"/>
  <c r="E411" i="18" l="1"/>
  <c r="H411" i="18"/>
  <c r="J411" i="18" s="1"/>
  <c r="G410" i="18"/>
  <c r="F411" i="18" l="1"/>
  <c r="I411" i="18"/>
  <c r="C412" i="18" s="1"/>
  <c r="E412" i="18" l="1"/>
  <c r="H412" i="18"/>
  <c r="J412" i="18" s="1"/>
  <c r="G411" i="18"/>
  <c r="I412" i="18" l="1"/>
  <c r="C413" i="18" s="1"/>
  <c r="F412" i="18"/>
  <c r="G412" i="18" l="1"/>
  <c r="E413" i="18"/>
  <c r="H413" i="18"/>
  <c r="J413" i="18" s="1"/>
  <c r="I413" i="18" l="1"/>
  <c r="C414" i="18" s="1"/>
  <c r="F413" i="18"/>
  <c r="G413" i="18" l="1"/>
  <c r="H414" i="18"/>
  <c r="J414" i="18" s="1"/>
  <c r="E414" i="18"/>
  <c r="I414" i="18" l="1"/>
  <c r="C415" i="18" s="1"/>
  <c r="F414" i="18"/>
  <c r="G414" i="18" l="1"/>
  <c r="H415" i="18"/>
  <c r="J415" i="18" s="1"/>
  <c r="E415" i="18"/>
  <c r="I415" i="18" l="1"/>
  <c r="C416" i="18" s="1"/>
  <c r="F415" i="18"/>
  <c r="G415" i="18" l="1"/>
  <c r="E416" i="18"/>
  <c r="H416" i="18"/>
  <c r="J416" i="18" s="1"/>
  <c r="I416" i="18" l="1"/>
  <c r="C417" i="18" s="1"/>
  <c r="F416" i="18"/>
  <c r="G416" i="18" l="1"/>
  <c r="H417" i="18"/>
  <c r="J417" i="18" s="1"/>
  <c r="E417" i="18"/>
  <c r="F417" i="18" l="1"/>
  <c r="I417" i="18"/>
  <c r="C418" i="18" s="1"/>
  <c r="E418" i="18" l="1"/>
  <c r="H418" i="18"/>
  <c r="J418" i="18" s="1"/>
  <c r="G417" i="18"/>
  <c r="F418" i="18" l="1"/>
  <c r="I418" i="18"/>
  <c r="C419" i="18" s="1"/>
  <c r="E419" i="18" l="1"/>
  <c r="H419" i="18"/>
  <c r="J419" i="18" s="1"/>
  <c r="G418" i="18"/>
  <c r="F419" i="18" l="1"/>
  <c r="I419" i="18"/>
  <c r="C420" i="18" s="1"/>
  <c r="H420" i="18" l="1"/>
  <c r="J420" i="18" s="1"/>
  <c r="E420" i="18"/>
  <c r="G419" i="18"/>
  <c r="I420" i="18" l="1"/>
  <c r="C421" i="18" s="1"/>
  <c r="F420" i="18"/>
  <c r="G420" i="18" l="1"/>
  <c r="H421" i="18"/>
  <c r="J421" i="18" s="1"/>
  <c r="E421" i="18"/>
  <c r="I421" i="18" l="1"/>
  <c r="C422" i="18" s="1"/>
  <c r="F421" i="18"/>
  <c r="G421" i="18" l="1"/>
  <c r="E422" i="18"/>
  <c r="H422" i="18"/>
  <c r="J422" i="18" s="1"/>
  <c r="I422" i="18" l="1"/>
  <c r="C423" i="18" s="1"/>
  <c r="F422" i="18"/>
  <c r="G422" i="18" l="1"/>
  <c r="H423" i="18"/>
  <c r="J423" i="18" s="1"/>
  <c r="E423" i="18"/>
  <c r="I423" i="18" l="1"/>
  <c r="C424" i="18" s="1"/>
  <c r="F423" i="18"/>
  <c r="G423" i="18" l="1"/>
  <c r="E424" i="18"/>
  <c r="H424" i="18"/>
  <c r="J424" i="18" s="1"/>
  <c r="F424" i="18" l="1"/>
  <c r="I424" i="18"/>
  <c r="C425" i="18" s="1"/>
  <c r="E425" i="18" l="1"/>
  <c r="H425" i="18"/>
  <c r="J425" i="18" s="1"/>
  <c r="G424" i="18"/>
  <c r="F425" i="18" l="1"/>
  <c r="I425" i="18"/>
  <c r="C426" i="18" s="1"/>
  <c r="H426" i="18" l="1"/>
  <c r="J426" i="18" s="1"/>
  <c r="E426" i="18"/>
  <c r="G425" i="18"/>
  <c r="I426" i="18" l="1"/>
  <c r="C427" i="18" s="1"/>
  <c r="F426" i="18"/>
  <c r="G426" i="18" l="1"/>
  <c r="H427" i="18"/>
  <c r="J427" i="18" s="1"/>
  <c r="E427" i="18"/>
  <c r="F427" i="18" l="1"/>
  <c r="I427" i="18"/>
  <c r="C428" i="18" s="1"/>
  <c r="E428" i="18" l="1"/>
  <c r="H428" i="18"/>
  <c r="J428" i="18" s="1"/>
  <c r="G427" i="18"/>
  <c r="I428" i="18" l="1"/>
  <c r="C429" i="18" s="1"/>
  <c r="F428" i="18"/>
  <c r="G428" i="18" l="1"/>
  <c r="H429" i="18"/>
  <c r="J429" i="18" s="1"/>
  <c r="E429" i="18"/>
  <c r="F429" i="18" l="1"/>
  <c r="I429" i="18"/>
  <c r="C430" i="18" s="1"/>
  <c r="H430" i="18" l="1"/>
  <c r="J430" i="18" s="1"/>
  <c r="E430" i="18"/>
  <c r="G429" i="18"/>
  <c r="F430" i="18" l="1"/>
  <c r="I430" i="18"/>
  <c r="C431" i="18" s="1"/>
  <c r="H431" i="18" l="1"/>
  <c r="J431" i="18" s="1"/>
  <c r="E431" i="18"/>
  <c r="G430" i="18"/>
  <c r="I431" i="18" l="1"/>
  <c r="C432" i="18" s="1"/>
  <c r="F431" i="18"/>
  <c r="G431" i="18" l="1"/>
  <c r="E432" i="18"/>
  <c r="H432" i="18"/>
  <c r="J432" i="18" s="1"/>
  <c r="I432" i="18" l="1"/>
  <c r="C433" i="18" s="1"/>
  <c r="F432" i="18"/>
  <c r="G432" i="18" l="1"/>
  <c r="H433" i="18"/>
  <c r="J433" i="18" s="1"/>
  <c r="E433" i="18"/>
  <c r="I433" i="18" l="1"/>
  <c r="C434" i="18" s="1"/>
  <c r="F433" i="18"/>
  <c r="G433" i="18" l="1"/>
  <c r="H434" i="18"/>
  <c r="J434" i="18" s="1"/>
  <c r="E434" i="18"/>
  <c r="F434" i="18" l="1"/>
  <c r="I434" i="18"/>
  <c r="C435" i="18" s="1"/>
  <c r="H435" i="18" l="1"/>
  <c r="J435" i="18" s="1"/>
  <c r="E435" i="18"/>
  <c r="G434" i="18"/>
  <c r="I435" i="18" l="1"/>
  <c r="C436" i="18" s="1"/>
  <c r="F435" i="18"/>
  <c r="G435" i="18" l="1"/>
  <c r="E436" i="18"/>
  <c r="H436" i="18"/>
  <c r="J436" i="18" s="1"/>
  <c r="F436" i="18" l="1"/>
  <c r="I436" i="18"/>
  <c r="C437" i="18" s="1"/>
  <c r="H437" i="18" l="1"/>
  <c r="J437" i="18" s="1"/>
  <c r="E437" i="18"/>
  <c r="G436" i="18"/>
  <c r="F437" i="18" l="1"/>
  <c r="I437" i="18"/>
  <c r="C438" i="18" s="1"/>
  <c r="H438" i="18" l="1"/>
  <c r="J438" i="18" s="1"/>
  <c r="E438" i="18"/>
  <c r="G437" i="18"/>
  <c r="F438" i="18" l="1"/>
  <c r="I438" i="18"/>
  <c r="C439" i="18" s="1"/>
  <c r="H439" i="18" l="1"/>
  <c r="J439" i="18" s="1"/>
  <c r="E439" i="18"/>
  <c r="G438" i="18"/>
  <c r="F439" i="18" l="1"/>
  <c r="I439" i="18"/>
  <c r="C440" i="18" s="1"/>
  <c r="E440" i="18" l="1"/>
  <c r="H440" i="18"/>
  <c r="J440" i="18" s="1"/>
  <c r="G439" i="18"/>
  <c r="I440" i="18" l="1"/>
  <c r="C441" i="18" s="1"/>
  <c r="F440" i="18"/>
  <c r="G440" i="18" l="1"/>
  <c r="H441" i="18"/>
  <c r="J441" i="18" s="1"/>
  <c r="E441" i="18"/>
  <c r="I441" i="18" l="1"/>
  <c r="C442" i="18" s="1"/>
  <c r="F441" i="18"/>
  <c r="G441" i="18" l="1"/>
  <c r="E442" i="18"/>
  <c r="H442" i="18"/>
  <c r="J442" i="18" s="1"/>
  <c r="I442" i="18" l="1"/>
  <c r="C443" i="18" s="1"/>
  <c r="F442" i="18"/>
  <c r="G442" i="18" l="1"/>
  <c r="H443" i="18"/>
  <c r="J443" i="18" s="1"/>
  <c r="E443" i="18"/>
  <c r="F443" i="18" l="1"/>
  <c r="I443" i="18"/>
  <c r="C444" i="18" s="1"/>
  <c r="E444" i="18" l="1"/>
  <c r="H444" i="18"/>
  <c r="J444" i="18" s="1"/>
  <c r="G443" i="18"/>
  <c r="F444" i="18" l="1"/>
  <c r="I444" i="18"/>
  <c r="C445" i="18" s="1"/>
  <c r="E445" i="18" l="1"/>
  <c r="H445" i="18"/>
  <c r="J445" i="18" s="1"/>
  <c r="G444" i="18"/>
  <c r="F445" i="18" l="1"/>
  <c r="I445" i="18"/>
  <c r="C446" i="18" s="1"/>
  <c r="H446" i="18" l="1"/>
  <c r="J446" i="18" s="1"/>
  <c r="E446" i="18"/>
  <c r="G445" i="18"/>
  <c r="I446" i="18" l="1"/>
  <c r="C447" i="18" s="1"/>
  <c r="F446" i="18"/>
  <c r="G446" i="18" l="1"/>
  <c r="H447" i="18"/>
  <c r="J447" i="18" s="1"/>
  <c r="E447" i="18"/>
  <c r="F447" i="18" l="1"/>
  <c r="I447" i="18"/>
  <c r="C448" i="18" s="1"/>
  <c r="E448" i="18" l="1"/>
  <c r="H448" i="18"/>
  <c r="J448" i="18" s="1"/>
  <c r="G447" i="18"/>
  <c r="F448" i="18" l="1"/>
  <c r="I448" i="18"/>
  <c r="C449" i="18" s="1"/>
  <c r="E449" i="18" l="1"/>
  <c r="H449" i="18"/>
  <c r="J449" i="18" s="1"/>
  <c r="G448" i="18"/>
  <c r="F449" i="18" l="1"/>
  <c r="I449" i="18"/>
  <c r="C450" i="18" s="1"/>
  <c r="H450" i="18" l="1"/>
  <c r="J450" i="18" s="1"/>
  <c r="E450" i="18"/>
  <c r="G449" i="18"/>
  <c r="F450" i="18" l="1"/>
  <c r="I450" i="18"/>
  <c r="C451" i="18" s="1"/>
  <c r="H451" i="18" l="1"/>
  <c r="J451" i="18" s="1"/>
  <c r="E451" i="18"/>
  <c r="G450" i="18"/>
  <c r="F451" i="18" l="1"/>
  <c r="I451" i="18"/>
  <c r="C452" i="18" s="1"/>
  <c r="H452" i="18" l="1"/>
  <c r="J452" i="18" s="1"/>
  <c r="E452" i="18"/>
  <c r="G451" i="18"/>
  <c r="I452" i="18" l="1"/>
  <c r="C453" i="18" s="1"/>
  <c r="F452" i="18"/>
  <c r="G452" i="18" l="1"/>
  <c r="E453" i="18"/>
  <c r="H453" i="18"/>
  <c r="J453" i="18" s="1"/>
  <c r="I453" i="18" l="1"/>
  <c r="C454" i="18" s="1"/>
  <c r="F453" i="18"/>
  <c r="G453" i="18" l="1"/>
  <c r="H454" i="18"/>
  <c r="J454" i="18" s="1"/>
  <c r="E454" i="18"/>
  <c r="F454" i="18" l="1"/>
  <c r="I454" i="18"/>
  <c r="C455" i="18" s="1"/>
  <c r="H455" i="18" l="1"/>
  <c r="J455" i="18" s="1"/>
  <c r="E455" i="18"/>
  <c r="G454" i="18"/>
  <c r="I455" i="18" l="1"/>
  <c r="C456" i="18" s="1"/>
  <c r="F455" i="18"/>
  <c r="G455" i="18" l="1"/>
  <c r="H456" i="18"/>
  <c r="J456" i="18" s="1"/>
  <c r="E456" i="18"/>
  <c r="I456" i="18" l="1"/>
  <c r="C457" i="18" s="1"/>
  <c r="F456" i="18"/>
  <c r="G456" i="18" l="1"/>
  <c r="H457" i="18"/>
  <c r="J457" i="18" s="1"/>
  <c r="E457" i="18"/>
  <c r="I457" i="18" l="1"/>
  <c r="C458" i="18" s="1"/>
  <c r="F457" i="18"/>
  <c r="G457" i="18" l="1"/>
  <c r="H458" i="18"/>
  <c r="J458" i="18" s="1"/>
  <c r="E458" i="18"/>
  <c r="I458" i="18" l="1"/>
  <c r="C459" i="18" s="1"/>
  <c r="F458" i="18"/>
  <c r="G458" i="18" l="1"/>
  <c r="H459" i="18"/>
  <c r="J459" i="18" s="1"/>
  <c r="E459" i="18"/>
  <c r="F459" i="18" l="1"/>
  <c r="I459" i="18"/>
  <c r="C460" i="18" s="1"/>
  <c r="E460" i="18" l="1"/>
  <c r="H460" i="18"/>
  <c r="J460" i="18" s="1"/>
  <c r="G459" i="18"/>
  <c r="I460" i="18" l="1"/>
  <c r="C461" i="18" s="1"/>
  <c r="F460" i="18"/>
  <c r="G460" i="18" l="1"/>
  <c r="H461" i="18"/>
  <c r="J461" i="18" s="1"/>
  <c r="E461" i="18"/>
  <c r="F461" i="18" l="1"/>
  <c r="I461" i="18"/>
  <c r="C462" i="18" s="1"/>
  <c r="H462" i="18" l="1"/>
  <c r="J462" i="18" s="1"/>
  <c r="E462" i="18"/>
  <c r="G461" i="18"/>
  <c r="I462" i="18" l="1"/>
  <c r="C463" i="18" s="1"/>
  <c r="F462" i="18"/>
  <c r="G462" i="18" l="1"/>
  <c r="H463" i="18"/>
  <c r="J463" i="18" s="1"/>
  <c r="E463" i="18"/>
  <c r="F463" i="18" l="1"/>
  <c r="I463" i="18"/>
  <c r="C464" i="18" s="1"/>
  <c r="E464" i="18" l="1"/>
  <c r="H464" i="18"/>
  <c r="J464" i="18" s="1"/>
  <c r="G463" i="18"/>
  <c r="I464" i="18" l="1"/>
  <c r="C465" i="18" s="1"/>
  <c r="F464" i="18"/>
  <c r="G464" i="18" l="1"/>
  <c r="H465" i="18"/>
  <c r="J465" i="18" s="1"/>
  <c r="E465" i="18"/>
  <c r="I465" i="18" l="1"/>
  <c r="C466" i="18" s="1"/>
  <c r="F465" i="18"/>
  <c r="G465" i="18" l="1"/>
  <c r="H466" i="18"/>
  <c r="J466" i="18" s="1"/>
  <c r="E466" i="18"/>
  <c r="I466" i="18" l="1"/>
  <c r="C467" i="18" s="1"/>
  <c r="F466" i="18"/>
  <c r="G466" i="18" l="1"/>
  <c r="H467" i="18"/>
  <c r="J467" i="18" s="1"/>
  <c r="E467" i="18"/>
  <c r="F467" i="18" l="1"/>
  <c r="I467" i="18"/>
  <c r="C468" i="18" s="1"/>
  <c r="H468" i="18" l="1"/>
  <c r="J468" i="18" s="1"/>
  <c r="E468" i="18"/>
  <c r="G467" i="18"/>
  <c r="F468" i="18" l="1"/>
  <c r="I468" i="18"/>
  <c r="C469" i="18" s="1"/>
  <c r="E469" i="18" l="1"/>
  <c r="H469" i="18"/>
  <c r="J469" i="18" s="1"/>
  <c r="G468" i="18"/>
  <c r="I469" i="18" l="1"/>
  <c r="C470" i="18" s="1"/>
  <c r="F469" i="18"/>
  <c r="G469" i="18" l="1"/>
  <c r="H470" i="18"/>
  <c r="J470" i="18" s="1"/>
  <c r="E470" i="18"/>
  <c r="I470" i="18" l="1"/>
  <c r="C471" i="18" s="1"/>
  <c r="F470" i="18"/>
  <c r="G470" i="18" l="1"/>
  <c r="H471" i="18"/>
  <c r="J471" i="18" s="1"/>
  <c r="E471" i="18"/>
  <c r="I471" i="18" l="1"/>
  <c r="C472" i="18" s="1"/>
  <c r="F471" i="18"/>
  <c r="G471" i="18" l="1"/>
  <c r="E472" i="18"/>
  <c r="H472" i="18"/>
  <c r="J472" i="18" s="1"/>
  <c r="F472" i="18" l="1"/>
  <c r="I472" i="18"/>
  <c r="C473" i="18" s="1"/>
  <c r="E473" i="18" l="1"/>
  <c r="H473" i="18"/>
  <c r="J473" i="18" s="1"/>
  <c r="G472" i="18"/>
  <c r="F473" i="18" l="1"/>
  <c r="I473" i="18"/>
  <c r="C474" i="18" s="1"/>
  <c r="E474" i="18" l="1"/>
  <c r="H474" i="18"/>
  <c r="J474" i="18" s="1"/>
  <c r="G473" i="18"/>
  <c r="F474" i="18" l="1"/>
  <c r="I474" i="18"/>
  <c r="C475" i="18" s="1"/>
  <c r="H475" i="18" l="1"/>
  <c r="J475" i="18" s="1"/>
  <c r="E475" i="18"/>
  <c r="G474" i="18"/>
  <c r="I475" i="18" l="1"/>
  <c r="C476" i="18" s="1"/>
  <c r="F475" i="18"/>
  <c r="G475" i="18" l="1"/>
  <c r="E476" i="18"/>
  <c r="H476" i="18"/>
  <c r="J476" i="18" s="1"/>
  <c r="F476" i="18" l="1"/>
  <c r="I476" i="18"/>
  <c r="C477" i="18" s="1"/>
  <c r="E477" i="18" l="1"/>
  <c r="H477" i="18"/>
  <c r="J477" i="18" s="1"/>
  <c r="G476" i="18"/>
  <c r="I477" i="18" l="1"/>
  <c r="C478" i="18" s="1"/>
  <c r="F477" i="18"/>
  <c r="G477" i="18" l="1"/>
  <c r="H478" i="18"/>
  <c r="J478" i="18" s="1"/>
  <c r="E478" i="18"/>
  <c r="F478" i="18" l="1"/>
  <c r="I478" i="18"/>
  <c r="C479" i="18" s="1"/>
  <c r="G478" i="18" l="1"/>
  <c r="H479" i="18"/>
  <c r="J479" i="18" s="1"/>
  <c r="E479" i="18"/>
  <c r="I479" i="18" l="1"/>
  <c r="C480" i="18" s="1"/>
  <c r="F479" i="18"/>
  <c r="G479" i="18" l="1"/>
  <c r="H480" i="18"/>
  <c r="J480" i="18" s="1"/>
  <c r="E480" i="18"/>
  <c r="I480" i="18" l="1"/>
  <c r="C481" i="18" s="1"/>
  <c r="F480" i="18"/>
  <c r="G480" i="18" l="1"/>
  <c r="H481" i="18"/>
  <c r="J481" i="18" s="1"/>
  <c r="E481" i="18"/>
  <c r="I481" i="18" l="1"/>
  <c r="C482" i="18" s="1"/>
  <c r="F481" i="18"/>
  <c r="G481" i="18" l="1"/>
  <c r="H482" i="18"/>
  <c r="J482" i="18" s="1"/>
  <c r="E482" i="18"/>
  <c r="F482" i="18" l="1"/>
  <c r="I482" i="18"/>
  <c r="C483" i="18" s="1"/>
  <c r="H483" i="18" l="1"/>
  <c r="J483" i="18" s="1"/>
  <c r="E483" i="18"/>
  <c r="G482" i="18"/>
  <c r="F483" i="18" l="1"/>
  <c r="I483" i="18"/>
  <c r="C484" i="18" s="1"/>
  <c r="H484" i="18" l="1"/>
  <c r="J484" i="18" s="1"/>
  <c r="E484" i="18"/>
  <c r="G483" i="18"/>
  <c r="I484" i="18" l="1"/>
  <c r="C485" i="18" s="1"/>
  <c r="F484" i="18"/>
  <c r="G484" i="18" l="1"/>
  <c r="H485" i="18"/>
  <c r="J485" i="18" s="1"/>
  <c r="E485" i="18"/>
  <c r="I485" i="18" l="1"/>
  <c r="C486" i="18" s="1"/>
  <c r="F485" i="18"/>
  <c r="G485" i="18" l="1"/>
  <c r="H486" i="18"/>
  <c r="J486" i="18" s="1"/>
  <c r="E486" i="18"/>
  <c r="I486" i="18" l="1"/>
  <c r="C487" i="18" s="1"/>
  <c r="F486" i="18"/>
  <c r="G486" i="18" l="1"/>
  <c r="H487" i="18"/>
  <c r="J487" i="18" s="1"/>
  <c r="E487" i="18"/>
  <c r="F487" i="18" l="1"/>
  <c r="I487" i="18"/>
  <c r="C488" i="18" s="1"/>
  <c r="E488" i="18" l="1"/>
  <c r="H488" i="18"/>
  <c r="J488" i="18" s="1"/>
  <c r="G487" i="18"/>
  <c r="I488" i="18" l="1"/>
  <c r="C489" i="18" s="1"/>
  <c r="F488" i="18"/>
  <c r="G488" i="18" l="1"/>
  <c r="H489" i="18"/>
  <c r="J489" i="18" s="1"/>
  <c r="E489" i="18"/>
  <c r="I489" i="18" l="1"/>
  <c r="C490" i="18" s="1"/>
  <c r="F489" i="18"/>
  <c r="G489" i="18" l="1"/>
  <c r="H490" i="18"/>
  <c r="J490" i="18" s="1"/>
  <c r="E490" i="18"/>
  <c r="I490" i="18" l="1"/>
  <c r="C491" i="18" s="1"/>
  <c r="F490" i="18"/>
  <c r="G490" i="18" l="1"/>
  <c r="H491" i="18"/>
  <c r="J491" i="18" s="1"/>
  <c r="E491" i="18"/>
  <c r="F491" i="18" l="1"/>
  <c r="I491" i="18"/>
  <c r="C492" i="18" s="1"/>
  <c r="H492" i="18" l="1"/>
  <c r="J492" i="18" s="1"/>
  <c r="E492" i="18"/>
  <c r="G491" i="18"/>
  <c r="I492" i="18" l="1"/>
  <c r="C493" i="18" s="1"/>
  <c r="F492" i="18"/>
  <c r="G492" i="18" l="1"/>
  <c r="H493" i="18"/>
  <c r="J493" i="18" s="1"/>
  <c r="E493" i="18"/>
  <c r="F493" i="18" l="1"/>
  <c r="I493" i="18"/>
  <c r="C494" i="18" s="1"/>
  <c r="H494" i="18" l="1"/>
  <c r="J494" i="18" s="1"/>
  <c r="E494" i="18"/>
  <c r="G493" i="18"/>
  <c r="F494" i="18" l="1"/>
  <c r="I494" i="18"/>
  <c r="C495" i="18" s="1"/>
  <c r="E495" i="18" l="1"/>
  <c r="H495" i="18"/>
  <c r="J495" i="18" s="1"/>
  <c r="G494" i="18"/>
  <c r="F495" i="18" l="1"/>
  <c r="I495" i="18"/>
  <c r="C496" i="18" s="1"/>
  <c r="H496" i="18" l="1"/>
  <c r="J496" i="18" s="1"/>
  <c r="E496" i="18"/>
  <c r="G495" i="18"/>
  <c r="F496" i="18" l="1"/>
  <c r="I496" i="18"/>
  <c r="C497" i="18" s="1"/>
  <c r="J9" i="18" l="1"/>
  <c r="J8" i="18"/>
  <c r="H497" i="18"/>
  <c r="J497" i="18" s="1"/>
  <c r="E497" i="18"/>
  <c r="G496" i="18"/>
  <c r="I497" i="18" l="1"/>
  <c r="F497" i="18"/>
  <c r="G497" i="18" l="1"/>
  <c r="J7" i="18"/>
</calcChain>
</file>

<file path=xl/sharedStrings.xml><?xml version="1.0" encoding="utf-8"?>
<sst xmlns="http://schemas.openxmlformats.org/spreadsheetml/2006/main" count="372" uniqueCount="280">
  <si>
    <t xml:space="preserve">NOTE: Some functions used in these spreadsheets may require that </t>
  </si>
  <si>
    <t>Year</t>
  </si>
  <si>
    <t>Beginning
Amount</t>
  </si>
  <si>
    <t>Simple 
Interest</t>
  </si>
  <si>
    <t>Compound
Interest</t>
  </si>
  <si>
    <t>Total
Interest</t>
  </si>
  <si>
    <t>Ending
Amount</t>
  </si>
  <si>
    <t>RWJ Excel Tip</t>
  </si>
  <si>
    <t>Amount 
with 
Simple 
Interest</t>
  </si>
  <si>
    <t>Totals</t>
  </si>
  <si>
    <t>Amount with Simple
Interest</t>
  </si>
  <si>
    <t>Total Compound
Interest</t>
  </si>
  <si>
    <t>Interest Rate</t>
  </si>
  <si>
    <t>In these spreadsheets, you will learn how to use the following Excel functions:</t>
  </si>
  <si>
    <t>The following conventions are used in these spreadsheets:</t>
  </si>
  <si>
    <t>1) Given data in blue</t>
  </si>
  <si>
    <t>2) Calculations in red</t>
  </si>
  <si>
    <t>the "Analysis ToolPak" or "Solver Add-In" be installed in Excel.</t>
  </si>
  <si>
    <t>then "Excel Options," "Add-Ins" and select</t>
  </si>
  <si>
    <t>"Solver Add-In," then click "OK."</t>
  </si>
  <si>
    <t xml:space="preserve">Number of </t>
  </si>
  <si>
    <t>Periods</t>
  </si>
  <si>
    <t>How much will you have at the end of the investment. Using the FV function, we find that you will have:</t>
  </si>
  <si>
    <t>To use the FV function, we entered the following:</t>
  </si>
  <si>
    <t>Present Value and Discounting</t>
  </si>
  <si>
    <t>Present value:</t>
  </si>
  <si>
    <t>To use the PV function, we entered the following:</t>
  </si>
  <si>
    <t>Number of Periods</t>
  </si>
  <si>
    <t>To find the interest rate, we used the RATE function and entered the following:</t>
  </si>
  <si>
    <t>You are saving up to buy the Godot Company and have the following information. How long must you wait to buy the company?</t>
  </si>
  <si>
    <t>To see the effect of compound interest, change the interest rate and see how the compound interest grows as the interest rate changes.</t>
  </si>
  <si>
    <t>Graphically, the present value factors look like this:</t>
  </si>
  <si>
    <t>a.</t>
  </si>
  <si>
    <t>b.</t>
  </si>
  <si>
    <t>Now we can graph the contribution of compounding to the future value of our investment.</t>
  </si>
  <si>
    <t>Future Value with Changing Interest Rates</t>
  </si>
  <si>
    <t>Interest rate</t>
  </si>
  <si>
    <t>To use the FVSCHEDULE, we entered:</t>
  </si>
  <si>
    <t>If for some reason you do need more accurate calculations, www.precisioncalc.com has an add-in to Excel available that will calculate to 32,767 digits.</t>
  </si>
  <si>
    <t>An important fact about compound interest is that it results in exponential growth. To see the exponential growth in practice, we can graph the future value table. It looks like this:</t>
  </si>
  <si>
    <t>Now that we have calculated the future value of a lump sum with the equation, we will use Excel's FV function to calculate the future value. Suppose you have the following investment opportunity:</t>
  </si>
  <si>
    <t>To find the number of periods, we used the NPER function and entered the following:</t>
  </si>
  <si>
    <t xml:space="preserve">In this function, Principal is the beginning deposit and Schedule is an array that contains the interest rates for each period. </t>
  </si>
  <si>
    <t xml:space="preserve">"Go." Check "Analysis ToolPak" and </t>
  </si>
  <si>
    <t>Now that we have used the FV function, we will skip entering an equation to find the present value, but rather talk about the PV function. The PV syntax is similar to the FV syntax.</t>
  </si>
  <si>
    <t>Suppose we want to create a table with the present value factors for different interest rates and periods. A two-way data table allows us to do this very easily. First, we'll set up a basic PV problem, with $1 as the future value.</t>
  </si>
  <si>
    <t>Rate is the interest rate, Pv is the present value, and Fv is the future value. We left the payment and type blank for now, but we will discuss these later on. Notice also that we put a negative sign in front of the present value. Excel works like a calculator in that it expects cash flows. We could have also made the present value positive and the future value negative.</t>
  </si>
  <si>
    <t>While this process is more repetitive than difficult, Excel has a function that will calculate the future value of this amount. Using the FVSCHEDULE function, we find that the future value is:</t>
  </si>
  <si>
    <t>by Brad Jordan and Joe Smolira</t>
  </si>
  <si>
    <t>Chapter 4 - Section 2</t>
  </si>
  <si>
    <t>The Multiperiod Case</t>
  </si>
  <si>
    <t>At the end of the investment, she will have:</t>
  </si>
  <si>
    <r>
      <t xml:space="preserve">As shown in the textbook, the future value of $1 is found by the equation FV = $1 </t>
    </r>
    <r>
      <rPr>
        <sz val="12"/>
        <color indexed="8"/>
        <rFont val="Symbol"/>
        <family val="1"/>
        <charset val="2"/>
      </rPr>
      <t>´</t>
    </r>
    <r>
      <rPr>
        <sz val="12"/>
        <color indexed="8"/>
        <rFont val="Calibri"/>
        <family val="2"/>
      </rPr>
      <t xml:space="preserve"> (1 + </t>
    </r>
    <r>
      <rPr>
        <i/>
        <sz val="12"/>
        <color indexed="8"/>
        <rFont val="Calibri"/>
        <family val="2"/>
      </rPr>
      <t>r</t>
    </r>
    <r>
      <rPr>
        <sz val="12"/>
        <color indexed="8"/>
        <rFont val="Calibri"/>
        <family val="2"/>
      </rPr>
      <t>)</t>
    </r>
    <r>
      <rPr>
        <i/>
        <vertAlign val="superscript"/>
        <sz val="12"/>
        <color indexed="8"/>
        <rFont val="Calibri"/>
        <family val="2"/>
      </rPr>
      <t>t</t>
    </r>
    <r>
      <rPr>
        <i/>
        <sz val="12"/>
        <color indexed="8"/>
        <rFont val="Calibri"/>
        <family val="2"/>
      </rPr>
      <t xml:space="preserve">. </t>
    </r>
    <r>
      <rPr>
        <sz val="12"/>
        <color indexed="8"/>
        <rFont val="Calibri"/>
        <family val="2"/>
      </rPr>
      <t>In Excel, the carat ( ^ ) raises a number to a power. Of course, compounding only occurs with compound interest, not simple interest. To see the difference between simple interest and compound interest, consider the following example:</t>
    </r>
  </si>
  <si>
    <t>Example 4.3: Interest on Interest</t>
  </si>
  <si>
    <t>Example 4.7: Multiperiod Discounting</t>
  </si>
  <si>
    <t>Bernard Dumas will receive a lump sum payment in the future. What is the value of that payment today?</t>
  </si>
  <si>
    <t>Finding the Number of Periods</t>
  </si>
  <si>
    <t>Finding the Interest Rate</t>
  </si>
  <si>
    <t>Example 4.8: Finding the Rate</t>
  </si>
  <si>
    <t>Excel also has a built-in function to calculate the number of periods necessary for a lump sum today to reach a desired amount in the future.</t>
  </si>
  <si>
    <t>Example 4.9: Waiting for Godot</t>
  </si>
  <si>
    <t>t</t>
  </si>
  <si>
    <t>Cash flow</t>
  </si>
  <si>
    <t>To calculate the NPV of the project using the NPV function, we entered the following:</t>
  </si>
  <si>
    <t>Net Present Value</t>
  </si>
  <si>
    <t>Net present value is the present value of all outflows, plus the present value of all inflows. Unfortunately, as we will see, computer programmers don't understand net present value.</t>
  </si>
  <si>
    <t>Example 4.11: NPV</t>
  </si>
  <si>
    <t>Salary</t>
  </si>
  <si>
    <t>Excel has functions to calculate the effective annual rate and the annual percentage rate.</t>
  </si>
  <si>
    <t>To calculate the effective annual rate, we can use the EFFECT function as follows:</t>
  </si>
  <si>
    <t>In the EFFECT function, Nominal_rate is the APR and Npery is the number of compounding periods per year.</t>
  </si>
  <si>
    <t>As a lender, you know the interest rate and the number of compounding periods per year. In order to earn this interest rate, what rate do you quote?</t>
  </si>
  <si>
    <t>To calculate the annual percentage rate, we can use the NOMINAL function as follows:</t>
  </si>
  <si>
    <t>In the NOMINAL function, Effect_rate is the EAR and Npery is the number of compounding periods per year.</t>
  </si>
  <si>
    <r>
      <t>Excel does not have a function for continuous compounding, but it does have a function that calculates the exponential function (</t>
    </r>
    <r>
      <rPr>
        <i/>
        <sz val="12"/>
        <color theme="1"/>
        <rFont val="Calibri"/>
        <family val="2"/>
        <scheme val="minor"/>
      </rPr>
      <t>e</t>
    </r>
    <r>
      <rPr>
        <sz val="12"/>
        <color theme="1"/>
        <rFont val="Calibri"/>
        <family val="2"/>
        <scheme val="minor"/>
      </rPr>
      <t xml:space="preserve">). </t>
    </r>
  </si>
  <si>
    <t>To calculate the exponential function, we use EXP, found under the Math &amp; Trig functions, as follows:</t>
  </si>
  <si>
    <t>Chapter 4 - Section 3</t>
  </si>
  <si>
    <t>Compounding Periods</t>
  </si>
  <si>
    <t>Example 4.12: EARs</t>
  </si>
  <si>
    <t xml:space="preserve">Of course, you may have the EAR and need to find the APR. Remember that the APR is the legally quoted interest rate on loans. </t>
  </si>
  <si>
    <t>Continuous Compounding</t>
  </si>
  <si>
    <t>Example 4.15: Continuous Compounding</t>
  </si>
  <si>
    <t>Present Value for Annuity Cash Flows</t>
  </si>
  <si>
    <t>To find the present value of this annuity, we used the following arguments:</t>
  </si>
  <si>
    <t>To find the annuity payment, we used the following arguments:</t>
  </si>
  <si>
    <t>To find the interest rate for an annuity, Excel uses the RATE function. Suppose you are saving for retirement and know how much you will save every year, as well as a target retirement balance. What interest rate is necessary for you to reach your goal?</t>
  </si>
  <si>
    <t>To find the interest rate, we used the following arguments:</t>
  </si>
  <si>
    <t>Nper is the number of periods, Pmt is the annuity payment, and Fv is the future value. Since there is no present value, we left this blank. Notice also that we put a negative sign in front of the payment. Excel requires that one of the cash flows be positive and one of the cash flows be negative. We could have made the payment positive and the future value negative and would have received the same answer.</t>
  </si>
  <si>
    <t xml:space="preserve">To find the number of periods, Excel uses the NPER function. </t>
  </si>
  <si>
    <t>To find the number of periods, we used the following arguments:</t>
  </si>
  <si>
    <t>Rate is the interest rate per period, Pmt is the annuity payment, and Pv is the present value. Since there is no future value, we left this blank. Notice also that we put a negative sign in front of the payment. Excel requires that one of the cash flows be positive and one of the cash flows negative. We could have made the payment positive and the future value negative and would have received the same answer.</t>
  </si>
  <si>
    <t>Future Value for Annuities</t>
  </si>
  <si>
    <t>We can find the future value of an annuity using the Pmt argument in the FV function. Suppose you are saving for retirement. Based on the following assumptions, how much will you have when you retire?</t>
  </si>
  <si>
    <t>To find the future value of this annuity, we used the following arguments:</t>
  </si>
  <si>
    <t>In the FV and PV functions, the Type represents the payment type. If this argument is left blank or a 0 (zero) is entered, Excel uses end of period payments. If a 1 (one) is entered, Excel uses beginning of period payments.</t>
  </si>
  <si>
    <t>Chapter 4 - Section 4</t>
  </si>
  <si>
    <t>Simplifications</t>
  </si>
  <si>
    <t>Excel does not have built-in functions for perpetuities, growing perpetuities, or growing annuities. Each of these can be calculated by inputting the equations directly into a cell. We'll leave this up to you and instead concentrate on the broad array of annuity calculations in this section.</t>
  </si>
  <si>
    <t>Example 4.20: Lottery Valuation</t>
  </si>
  <si>
    <t>Finding the Annuity Payment</t>
  </si>
  <si>
    <t>Example 4.21: Retirement Investing</t>
  </si>
  <si>
    <t>To find the annuity payment, Excel uses the PMT function. Suppose you are buying a house with the following terms. What is your monthly mortgage payment?</t>
  </si>
  <si>
    <t>Finding the Number of Payments</t>
  </si>
  <si>
    <t>You ran a little short on your vacation, so you charged on your credit card. With the following assumptions, how long will it take you to pay off your credit card?</t>
  </si>
  <si>
    <t>Chapter 4</t>
  </si>
  <si>
    <t>Example 4.22 Delayed Annuities</t>
  </si>
  <si>
    <t>Suppose Danielle Caravello will receive the following annuity payments. What is the value of the payments today?</t>
  </si>
  <si>
    <t>First, we can find the present value of the annuity payments, which is:</t>
  </si>
  <si>
    <t>Of course, we could solve this question with one calculation cell. Excel allows you to "nest" one function inside another. Below, we nested the present value of the annuity calculation inside the present value of the lump sum without the intermediate step of calculating the present value of the annuity. Although this is a little more difficult, it also results in a cleaner looking spreadsheet.</t>
  </si>
  <si>
    <t>Of course, there is another way to calculate the value of this annuity today. Suppose we set up the cash flows in a table like this:</t>
  </si>
  <si>
    <t>With the cash flows set up like this, we can use the NPV function to find the value of the cash flows today, which will be:</t>
  </si>
  <si>
    <t>Trick 1: A Delayed Annuity</t>
  </si>
  <si>
    <t>Trick 2: Annuity Due</t>
  </si>
  <si>
    <t>Example 4.23: Annuity Due</t>
  </si>
  <si>
    <t>Suppose Mark DeYoung, who won the lottery in a previous example, still wins the lottery but now the payments are in the form of an annuity due. What is the value of his winnings today?</t>
  </si>
  <si>
    <t>To calculate the present value of an annuity due, we use the PV function and set the type of payments to beginning of period like this:</t>
  </si>
  <si>
    <t>Example 4.24: Infrequent Annuities</t>
  </si>
  <si>
    <t>We can answer this problem in two steps. First, we need to find the effective rate for the years between the annuity payments, which is:</t>
  </si>
  <si>
    <t>Now we can use this rate to find the value today, which is:</t>
  </si>
  <si>
    <t>Of course, we could always nest the functions to calculate the value today in one cell:</t>
  </si>
  <si>
    <t>Equal Principal Payment</t>
  </si>
  <si>
    <t>This means that the equal annual principal payments will be:</t>
  </si>
  <si>
    <t>So, the equal principal payment amortization table will look like this:</t>
  </si>
  <si>
    <t>Beginning
Balance</t>
  </si>
  <si>
    <t>Total
Payment</t>
  </si>
  <si>
    <t>Interest
Paid</t>
  </si>
  <si>
    <t>Principal
Payment</t>
  </si>
  <si>
    <t>Ending
Balance</t>
  </si>
  <si>
    <t>Total</t>
  </si>
  <si>
    <t xml:space="preserve">Equal Payment </t>
  </si>
  <si>
    <t>Creating an equal payment amortization schedule is similar to the equal principal amortization schedule. First, we need to calculate the loan payment for the 15 year loan, which we can calculate using the PMT function we discussed earlier. The loan payment will be:</t>
  </si>
  <si>
    <t>This means that the equal annual payments will be:</t>
  </si>
  <si>
    <t>So, the equal annual payment amortization table will look like this:</t>
  </si>
  <si>
    <t>Loan amortization tables are so common that Excel has a built-in worksheet to calculate a loan amortization. To find this worksheet, right-click on one of the worksheet tabs, select Insert, then the Spreadsheet Solutions tab. Below you will see the built-in spreadsheet options. We selected the Loan Amortization worksheet and Excel inserted the Loan Amortization worksheet. We entered the values in the table at the top and the entire loan amortization table was constructed automatically.</t>
  </si>
  <si>
    <t>"Balloon" or "Bullet" Loans</t>
  </si>
  <si>
    <t>Balloon loans are loans that are amortized over a relatively long schedule, but at some point during the life of the loan, the remaining principal of the loan is repaid. We are going to be a little fancier here and set up the problem so that it works with any repayment schedule, whether annually, monthly, or any other period. Suppose we have a loan with the following characteristics:</t>
  </si>
  <si>
    <t>So, based on the original amortization schedule, the payments will be:</t>
  </si>
  <si>
    <t>The balloon payment is the present value of the remaining payments, so the balloon payment will be:</t>
  </si>
  <si>
    <t>Loan Amortization Schedule</t>
  </si>
  <si>
    <t>Enter values</t>
  </si>
  <si>
    <t>Loan summary</t>
  </si>
  <si>
    <t>Loan amount</t>
  </si>
  <si>
    <t>Scheduled payment</t>
  </si>
  <si>
    <t>Annual interest rate</t>
  </si>
  <si>
    <t>Scheduled number of payments</t>
  </si>
  <si>
    <t>Loan period in years</t>
  </si>
  <si>
    <t>Actual number of payments</t>
  </si>
  <si>
    <t>Number of payments per year</t>
  </si>
  <si>
    <t>Total early payments</t>
  </si>
  <si>
    <t>Start date of loan</t>
  </si>
  <si>
    <t>Total interest</t>
  </si>
  <si>
    <t>Optional extra payments</t>
  </si>
  <si>
    <t>Lender name:</t>
  </si>
  <si>
    <t>Pmt. No.</t>
  </si>
  <si>
    <t>Payment Date</t>
  </si>
  <si>
    <t>Beginning Balance</t>
  </si>
  <si>
    <t>Scheduled Payment</t>
  </si>
  <si>
    <t>Extra Payment</t>
  </si>
  <si>
    <t>Total Payment</t>
  </si>
  <si>
    <t>Principal</t>
  </si>
  <si>
    <t>Interest</t>
  </si>
  <si>
    <t>Ending Balance</t>
  </si>
  <si>
    <t>Cumulative Interest</t>
  </si>
  <si>
    <t>Excel is a tool for solving problems, but with many time value of money problems, you may still need to draw a time line.</t>
  </si>
  <si>
    <t>This is a classic retirement problem. A friend is celebrating her birthday and wants to start saving for her anticipated retirement. She has the following years to retirement and retirement spending goals:</t>
  </si>
  <si>
    <t>Because your friend is planning ahead, the first withdrawal will not take place until one year after she retires. She wants to make equal annual deposits into her account for her retirement fund.</t>
  </si>
  <si>
    <r>
      <rPr>
        <i/>
        <sz val="12"/>
        <color theme="1"/>
        <rFont val="Calibri"/>
        <family val="2"/>
        <scheme val="minor"/>
      </rPr>
      <t>a.</t>
    </r>
    <r>
      <rPr>
        <sz val="12"/>
        <color theme="1"/>
        <rFont val="Calibri"/>
        <family val="2"/>
        <scheme val="minor"/>
      </rPr>
      <t xml:space="preserve"> </t>
    </r>
  </si>
  <si>
    <t>If she starts making these deposits in one year and makes her last deposit on the day she retires, what amount must she deposit annually to be able to make the desired withdrawals at retirement?</t>
  </si>
  <si>
    <t>c.</t>
  </si>
  <si>
    <t>Suppose your friend's employer will contribute to the account each year as part of the company's profit sharing plan. In addition, your friend expects a distribution from a family trust several years from now. What amount must she deposit annually now to be able to make the desired withdrawals at retirement?</t>
  </si>
  <si>
    <t>In order to answer any of these questions, first we need to know how much your friend will need when she is ready to retire. Since this amount will be the same for each of the parts of the problem, we will solve for this amount now, which will be:</t>
  </si>
  <si>
    <t>The amount your friend must save each year to fund her retirement is:</t>
  </si>
  <si>
    <t>The lump sum your friend must deposit today to fund her retirement is:</t>
  </si>
  <si>
    <t>To find the amount of the annual deposit now, it is easier to break down the components of the problem. Doing so for each of the following to find your friend's annual deposit, we get:</t>
  </si>
  <si>
    <t>Example 4.28: Partial Amortization, or "Bite the Bullet"</t>
  </si>
  <si>
    <t>Chapter 4 - Section 5</t>
  </si>
  <si>
    <t>Loan Amortization</t>
  </si>
  <si>
    <t>Suppose we have a commercial mortgage with the following characteristics. What will the monthly payment be? How big will the balloon payment be?</t>
  </si>
  <si>
    <t>Of course, we could have nested the functions to find the balloon payment as well like this:</t>
  </si>
  <si>
    <t>Now that we have the lump sum value, we can find the present value of the lump sum. We also need to remember that the present value of an annuity is one period before the first payment, so we need to subtract one from the date of the first payment. So, the value of the annuity today is:</t>
  </si>
  <si>
    <t>To insert this bar chart, we highlighted the columns we wanted in the graph, went to the Insert tab, and then selected Column. We chose the 2-D Stacked Column option. To get the border shadowing effect, we right-clicked on the graph, selected Format Plot Area and chose the Shadow option.</t>
  </si>
  <si>
    <t>Finance.com has the following investment opportunity for a new high-speed computer. Should Finance.com make this investment? What is the net present value?</t>
  </si>
  <si>
    <t>Chapter 4 - Master It!</t>
  </si>
  <si>
    <t>Master It! Solution</t>
  </si>
  <si>
    <r>
      <t xml:space="preserve">Ross, Westerfield, Jaffe, and Jordan's </t>
    </r>
    <r>
      <rPr>
        <b/>
        <i/>
        <sz val="12"/>
        <color rgb="FF000000"/>
        <rFont val="Calibri"/>
        <family val="2"/>
        <scheme val="minor"/>
      </rPr>
      <t>Spreadsheet Master</t>
    </r>
  </si>
  <si>
    <t>To install these, click on the File tab</t>
  </si>
  <si>
    <t>So what does simple interest look like compared to compound interest? We can use Excel to draw a graph for us. First, we need to set up a table that shows the value with simple interest and the total compound interest.</t>
  </si>
  <si>
    <t>Rate is the interest rate, Nper is the number if periods, and Pv is the present value. We left the payment and type blank for now, but we will discuss this in more detail later. Notice also that we put a negative sign in front of the present value. Excel works like a calculator in that it expects cash flows. If we had left the present value as a positive number we would have gotten a negative answer. Since we prefer our answers to show as positive, we entered a negative in front of the present value.</t>
  </si>
  <si>
    <t>Rate is the interest rate, Nper is the number of periods, and Fv is the future value. We left the payment and type blank for now, but we will discuss these later on. Notice also that we put a negative sign in front of the future value. Excel works like a calculator in that it expects cash flows. If we had left the future value as a positive number we would have gotten a negative answer. Since we prefer our answers to show as positive, we entered a negative in front of the future value.</t>
  </si>
  <si>
    <t>Value at 
year-end</t>
  </si>
  <si>
    <t>Rate is the interest rate, Nper is the number of periods, and Pmt is the annuity payment. Since there is no present value, we left this blank. Notice also that we put a negative sign in front of the payment. Excel works like a calculator in that one of the cash flows must be positive and one of the cash flows must be negative. If we had left the payment as a positive number we would have gotten a negative answer. Since we prefer our answers to show as positive, we entered a negative in front of the payment.</t>
  </si>
  <si>
    <t>Rate is the interest rate, Nper is the number of periods, and Pv is the present value. Since there is no future value, we left this blank. Notice also that we put a negative sign in front of the present value. Excel works like a calculator in that one of the cash flows must be positive and one of the cash flows must be negative. If we had left the present value as a positive number we would have gotten a negative answer. Since we prefer our answers to show as positive, we entered a negative in front of the present value.</t>
  </si>
  <si>
    <t>What is the value of the investment each year over the next 5 years? How much of the interest is simple interest and how much is compound interest? We will answer this question with the following table:</t>
  </si>
  <si>
    <t>In the past, future value tables were very common. Future value tables calculated the future interest factor for a variety of interest rates and time periods. We can construct a future value table relatively quickly in Excel. By the way, we will show you a much more efficient method in the next section.</t>
  </si>
  <si>
    <t>Two things about the above example. First, we did not want to change the column width for the entire spreadsheet to display the future value. To get the future value to display, we merged 3 cells by using the merge icon:              In merging cells, you select the cells you want merged into one cell and click on the icon. The second thing is that if you notice, the future value has all zeroes in the last three digits of the dollar amount and in the cents. You might think this is strange, and indeed it is. The reason is that while Excel is very precise, it only calculates to 15 significant digits. Although this generally does not create a problem in most calculations, it is something that you should consider if you are using very large or very small numbers.</t>
  </si>
  <si>
    <t xml:space="preserve">Finding the interest rate necessary for a present value to reach a desired future value in a desired time period is a relatively simple problem using Excel. </t>
  </si>
  <si>
    <t>A customer of Chaffkin Corp. wants to buy a tugboat today. Rather than paying immediately, he will pay at some point in the future. What interest rate would the Chaffkin Corp. charge to neither gain or lose on the sale?</t>
  </si>
  <si>
    <t>Nper is the number of periods, Pv is the present value, and Fv is the present value. We left the payment and type blank for now, but we will discuss these later on. Notice also that we put a negative sign in front of the present value. Excel works like a calculator in that it expects cash flows. We could have also made the present value positive and the future value negative.</t>
  </si>
  <si>
    <t>Suppose you are going to make a lump sum deposit today, and the interest rate you will receive will change every year. With the following assumptions, how much will you have in 6 years?</t>
  </si>
  <si>
    <t>Notice one very important thing: We did not include the cash flow at Time 0 in the NPV function. The reason is simple. When the programmers created the NPV function, they did not truly create a function that calculated the NPV, but rather created a function that calculated the present value of cash flows. So, to calculate the NPV of a series of cash flows, we use the NPV function to calculate the present value of the cash flows beyond Time 0, then add the cash flow at Time 0 to the result. To see how we did this, go to the NPV cell above.</t>
  </si>
  <si>
    <t>Finding the present value of an annuity is a simple task in Excel. Remember the Pmt argument in the PV and FV functions that we left blank in Section 4.2? The Pmt stands for the annuity payment. Finding the present value of an annuity uses the PV function with the annuity payment in the Pmt argument.</t>
  </si>
  <si>
    <t>Mark Young won the state lottery and will receive the following set of equal payments beginning one year from now. What is the value of the payments today?</t>
  </si>
  <si>
    <t>One of the tricks of annuities is getting the timing right. When we are dealing with a delayed annuity, there are a couple of ways to handle the calculation in Excel.</t>
  </si>
  <si>
    <t>Ann Chen is going to receive the following annuity payments. What is the value of the payments today?</t>
  </si>
  <si>
    <t xml:space="preserve">To create the table, we first set up the header row and column. The beginning balance references the loan amount, the principal payment is an absolute reference to the earlier calculation of the principal payment, and the interest paid is the beginning balance multiplied by the interest rate (which is an absolute reference.) We then repeated this for the second period, except that the beginning balance in Period 2 is the ending balance in Period 1. Since we have used absolute references for the principal payment and interest rate, we can copy and paste the second row to fill in the table. To find the total payments, total interest payments, and total principal payments, we used the sum button. </t>
  </si>
  <si>
    <t xml:space="preserve">To create the table, we first set up the header row and column. The beginning balance referenced the loan amount, the total payment is an absolute reference to the earlier calculation of the payment amount, the interest payment is the beginning balance multiplied by the interest rate (which is an absolute reference,) and the principal payment is the total payment minus the interest paid. The ending balance is the beginning balance minus the principal payment.  We then repeated this for the second period, except that the beginning balance in Period 2 is the ending balance in Period 1. Since we have used absolute references for the total payment and interest rate, we can copy and paste the second row to fill in the table. To find the total payments, total interest payments, and total principal payments over the life of the loan, we used the sum button. </t>
  </si>
  <si>
    <r>
      <t xml:space="preserve">Corporate Finance, </t>
    </r>
    <r>
      <rPr>
        <b/>
        <sz val="12"/>
        <color rgb="FF000000"/>
        <rFont val="Calibri"/>
        <family val="2"/>
        <scheme val="minor"/>
      </rPr>
      <t>13th edition</t>
    </r>
  </si>
  <si>
    <t>Version 13.0</t>
  </si>
  <si>
    <t>Number of periods</t>
  </si>
  <si>
    <t>Initial investment</t>
  </si>
  <si>
    <t>Interest rate per year</t>
  </si>
  <si>
    <t>Excel contains numerous financial functions, many of which relate to the time value of money. We will begin by using equations before moving to Excel's functions.</t>
  </si>
  <si>
    <t>Number of years</t>
  </si>
  <si>
    <t>Future value</t>
  </si>
  <si>
    <t>Example 4.6: Seward's Folly?</t>
  </si>
  <si>
    <t>U.S. Secretary of State William Seward negotiated the purchase of Alaska from Russia in 1867. The United States paid $7.2 million in exchange for 586,412 square miles of new land. Opponents of the deal mockingly labeled the transaction “Seward’s Folly” because they believed the newly acquired land was a useless icebox. Using the FV function, if the purchase price of Alaska was invested, how much would that investment be worth today?</t>
  </si>
  <si>
    <t>Purchase price</t>
  </si>
  <si>
    <t>Number of Years</t>
  </si>
  <si>
    <t>Value today</t>
  </si>
  <si>
    <t>Present value</t>
  </si>
  <si>
    <t>Return</t>
  </si>
  <si>
    <t>NPV</t>
  </si>
  <si>
    <t>Contract value today</t>
  </si>
  <si>
    <t>We can use the NPV function to find the present value of any series of cash flows. For example, to find the value today of the Patrick Mahomes contract we discussed in the text, we would do something like the following:</t>
  </si>
  <si>
    <t>APR</t>
  </si>
  <si>
    <t>Compounding periods per year</t>
  </si>
  <si>
    <t>EAR</t>
  </si>
  <si>
    <t>Suppose Katharina Lewellen makes a deposit into an account with the following APR. The account has continuous compounding. What is the EAR of this account?</t>
  </si>
  <si>
    <t>Annual payment</t>
  </si>
  <si>
    <t>Number of years for payments</t>
  </si>
  <si>
    <t>Annual savings</t>
  </si>
  <si>
    <t>Number of years to save</t>
  </si>
  <si>
    <t>Number of months for repayment</t>
  </si>
  <si>
    <t>Monthly interest rate</t>
  </si>
  <si>
    <t>Monthly payment</t>
  </si>
  <si>
    <t>Retirement goal</t>
  </si>
  <si>
    <t>Annual amount to save</t>
  </si>
  <si>
    <t>Amount owed</t>
  </si>
  <si>
    <t>Number of months to pay off card</t>
  </si>
  <si>
    <t>Number of years to pay off card</t>
  </si>
  <si>
    <t>Number of payments</t>
  </si>
  <si>
    <t>Amount of each payment</t>
  </si>
  <si>
    <t xml:space="preserve">Date of first payment </t>
  </si>
  <si>
    <t>Annuity present value</t>
  </si>
  <si>
    <t>Beginning of period annuity deposit</t>
  </si>
  <si>
    <t>Annuity payment</t>
  </si>
  <si>
    <t>Years between payments</t>
  </si>
  <si>
    <t>Years for payments</t>
  </si>
  <si>
    <t>Principal payments</t>
  </si>
  <si>
    <t>Equal payments</t>
  </si>
  <si>
    <t>Amortization period (years)</t>
  </si>
  <si>
    <t>Time balloon payment due (years)</t>
  </si>
  <si>
    <t>Payments per year</t>
  </si>
  <si>
    <t>Interest rate (APR)</t>
  </si>
  <si>
    <t>Balloon payment</t>
  </si>
  <si>
    <t>Years until retirement</t>
  </si>
  <si>
    <t>Amount to withdraw each year</t>
  </si>
  <si>
    <t>Years to withdraw in retirement</t>
  </si>
  <si>
    <t>Investment rate</t>
  </si>
  <si>
    <t>Employer's annual contribution</t>
  </si>
  <si>
    <t>Years until trust fund distribution</t>
  </si>
  <si>
    <t>Amount of trust fund distribution</t>
  </si>
  <si>
    <t>Amount needed at retirement</t>
  </si>
  <si>
    <t>Amount to save each year</t>
  </si>
  <si>
    <t>Lump sum deposited today</t>
  </si>
  <si>
    <t>Value of employer's contribution at retirement</t>
  </si>
  <si>
    <t>Value of trust fund at retirement</t>
  </si>
  <si>
    <t>Amount to save each year now</t>
  </si>
  <si>
    <t>Suh-Pyng Ku has made the following deposit at the First National Bank of Kent. How much will she have at the end of her savings period?</t>
  </si>
  <si>
    <t>There is a "bug" in Excel when graphing a table like the one above. If a table has text in the header row and column, Excel will automatically use the text in the legend of the graph. However, when the header row and column are numbers, Excel will not use the numbers in the legend, but rather include them in the graph. To include the numbers in the legend and on the vertical axis, try the following: First, just select the data and ignore the header row and column. Next, right-click on the entire chart and choose "Select Data." In the left hand column, highlight the data series you want to include a legend for (Series 1, Series 2, etc.,) then select "Edit." This brings up a box that allows you to choose the "Series Name." To include the number in the legend, select the cell that has the header you want to include. You will need to repeat this for every column in the table. To include the column with the number of years as the horizontal axis, go to the "Horizontal (Category) Axis Labels," select "Edit", then highlight the array that has the correct values for the horizontal axis.</t>
  </si>
  <si>
    <t>To set up a two-way data table, first create the rows and columns for the table. Next, in the upper left-hand corner, enter the equation you would like to use into the cell. Next, select the cell with the equation you want to use in the data table, go to the Data tab, What-If Analysis, then Data Table. Excel will prompt you to enter the variables in your table that correspond to the row and column numbers you entered. For this data table , our entries were:</t>
  </si>
  <si>
    <t>Notice that Excel made our choices absolute references by default. Just hit OK and the data table will be filled in automatically. We left the calculation in the upper left-hand corner showing in this case, but remember we could hide this number by right-clicking, selecting Format Cells, choosing Custom, and entering the custom type as a semicolon.</t>
  </si>
  <si>
    <t>We have the legend on the left-hand side of the table running vertically. To do this, we merged the cells, typed in the text, right-clicked on the cells and selected "Format Cells." Using the "Alignment" option, we moved the "Text" wheel to vertical.</t>
  </si>
  <si>
    <t>One way to calculate the future value is to compound the value each Year. In Year 1, we will receive the Year 1 interest rate. We will use the value at the end of Year 1 to calculate the future value in Year 2 at the Year 2 interest rate, and so on. Doing this, we find that the value each year is:</t>
  </si>
  <si>
    <t>Suppose Vicki Bogan makes a deposit in an account with the following stated annual interest rate and compounding periods per year. What is the EAR of this account?</t>
  </si>
  <si>
    <t>Suppose you make the following deposits into a Roth IRA for retirement. How much will you have in your account when your golden years start?</t>
  </si>
  <si>
    <t xml:space="preserve">So far, we have talked about ordinary annuities, that is, the payments occur at the end of the period. What about annuities due, where the payments occur at the beginning of the period? </t>
  </si>
  <si>
    <t>Effective multiyear rate</t>
  </si>
  <si>
    <t>Amortization tables are an excellent application of Excel's abilities. Because an amortization table is repetitive, once we get the first couple of rows, we can copy and paste to fill in the rest of the amortization table. Suppose we have the following 15-year loan that requires equal principal payments each year:</t>
  </si>
  <si>
    <t>Suppose your friend has just inherited a large sum of money. Rather than making equal annual payments, she has decided to make one lump-sum deposit today to cover her retirement needs. What amount does she have to deposit today?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</si>
</sst>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0000_);_(&quot;$&quot;* \(#,##0.0000\);_(&quot;$&quot;* &quot;-&quot;??_);_(@_)"/>
    <numFmt numFmtId="167" formatCode="0.00000"/>
    <numFmt numFmtId="168" formatCode="_(* #,##0.00_);_(* \(#,##0.00\);_(* &quot;-&quot;_);_(@_)"/>
    <numFmt numFmtId="169" formatCode="0.00?%_)"/>
    <numFmt numFmtId="170" formatCode="0_)"/>
    <numFmt numFmtId="171" formatCode="0.000000000000000%"/>
  </numFmts>
  <fonts count="48" x14ac:knownFonts="1">
    <font>
      <sz val="11"/>
      <color theme="1"/>
      <name val="Calibri"/>
      <family val="2"/>
      <scheme val="minor"/>
    </font>
    <font>
      <sz val="10"/>
      <name val="Arial"/>
      <family val="2"/>
    </font>
    <font>
      <sz val="12"/>
      <color indexed="8"/>
      <name val="Calibri"/>
      <family val="2"/>
    </font>
    <font>
      <sz val="12"/>
      <color indexed="8"/>
      <name val="Symbol"/>
      <family val="1"/>
      <charset val="2"/>
    </font>
    <font>
      <i/>
      <sz val="12"/>
      <color indexed="8"/>
      <name val="Calibri"/>
      <family val="2"/>
    </font>
    <font>
      <i/>
      <vertAlign val="superscript"/>
      <sz val="12"/>
      <color indexed="8"/>
      <name val="Calibri"/>
      <family val="2"/>
    </font>
    <font>
      <sz val="11"/>
      <color theme="1"/>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sz val="12"/>
      <color rgb="FF0000FF"/>
      <name val="Calibri"/>
      <family val="2"/>
      <scheme val="minor"/>
    </font>
    <font>
      <sz val="12"/>
      <color rgb="FFFF0000"/>
      <name val="Calibri"/>
      <family val="2"/>
      <scheme val="minor"/>
    </font>
    <font>
      <b/>
      <i/>
      <sz val="12"/>
      <color theme="1"/>
      <name val="Calibri"/>
      <family val="2"/>
      <scheme val="minor"/>
    </font>
    <font>
      <sz val="10"/>
      <color indexed="8"/>
      <name val="Calibri"/>
      <family val="2"/>
      <scheme val="minor"/>
    </font>
    <font>
      <b/>
      <sz val="12"/>
      <color rgb="FF000000"/>
      <name val="Calibri"/>
      <family val="2"/>
      <scheme val="minor"/>
    </font>
    <font>
      <b/>
      <i/>
      <sz val="12"/>
      <color rgb="FF000000"/>
      <name val="Calibri"/>
      <family val="2"/>
      <scheme val="minor"/>
    </font>
    <font>
      <sz val="48"/>
      <color indexed="52"/>
      <name val="Calibri"/>
      <family val="2"/>
      <scheme val="minor"/>
    </font>
    <font>
      <sz val="10"/>
      <color indexed="19"/>
      <name val="Calibri"/>
      <family val="2"/>
      <scheme val="minor"/>
    </font>
    <font>
      <sz val="10"/>
      <name val="Calibri"/>
      <family val="2"/>
      <scheme val="minor"/>
    </font>
    <font>
      <sz val="12"/>
      <color indexed="8"/>
      <name val="Calibri"/>
      <family val="2"/>
      <scheme val="minor"/>
    </font>
    <font>
      <b/>
      <sz val="12"/>
      <color indexed="9"/>
      <name val="Calibri"/>
      <family val="2"/>
      <scheme val="minor"/>
    </font>
    <font>
      <b/>
      <sz val="12"/>
      <color theme="0"/>
      <name val="Calibri"/>
      <family val="2"/>
      <scheme val="minor"/>
    </font>
    <font>
      <i/>
      <sz val="11"/>
      <color theme="1"/>
      <name val="Calibri"/>
      <family val="2"/>
      <scheme val="minor"/>
    </font>
    <font>
      <i/>
      <sz val="12"/>
      <color theme="1"/>
      <name val="Calibri"/>
      <family val="2"/>
      <scheme val="minor"/>
    </font>
    <font>
      <b/>
      <sz val="16"/>
      <color rgb="FF000099"/>
      <name val="Calibri"/>
      <family val="2"/>
    </font>
    <font>
      <sz val="12"/>
      <color rgb="FF000099"/>
      <name val="Calibri"/>
      <family val="2"/>
      <scheme val="minor"/>
    </font>
    <font>
      <b/>
      <sz val="16"/>
      <color rgb="FF000099"/>
      <name val="Calibri"/>
      <family val="2"/>
      <scheme val="minor"/>
    </font>
    <font>
      <sz val="11"/>
      <color rgb="FF000099"/>
      <name val="Calibri"/>
      <family val="2"/>
      <scheme val="minor"/>
    </font>
    <font>
      <sz val="12"/>
      <name val="Calibri"/>
      <family val="2"/>
      <scheme val="minor"/>
    </font>
    <font>
      <i/>
      <sz val="12"/>
      <name val="Calibri"/>
      <family val="2"/>
      <scheme val="minor"/>
    </font>
    <font>
      <sz val="16"/>
      <color theme="1"/>
      <name val="Calibri"/>
      <family val="2"/>
      <scheme val="minor"/>
    </font>
    <font>
      <sz val="16"/>
      <color rgb="FF000099"/>
      <name val="Calibri"/>
      <family val="2"/>
      <scheme val="minor"/>
    </font>
    <font>
      <sz val="11"/>
      <color theme="1"/>
      <name val="Agency FB"/>
      <family val="2"/>
    </font>
    <font>
      <b/>
      <sz val="11"/>
      <color rgb="FFFA7D00"/>
      <name val="Agency FB"/>
      <family val="2"/>
    </font>
    <font>
      <sz val="11"/>
      <color rgb="FF3F3F76"/>
      <name val="Agency FB"/>
      <family val="2"/>
    </font>
    <font>
      <sz val="10"/>
      <name val="Calibri"/>
      <family val="1"/>
      <scheme val="minor"/>
    </font>
    <font>
      <b/>
      <sz val="12"/>
      <color rgb="FF000099"/>
      <name val="Calibri"/>
      <family val="2"/>
      <scheme val="minor"/>
    </font>
    <font>
      <b/>
      <sz val="18"/>
      <name val="Cambria"/>
      <family val="2"/>
      <scheme val="major"/>
    </font>
    <font>
      <b/>
      <sz val="10"/>
      <color theme="1"/>
      <name val="Calibri"/>
      <family val="1"/>
      <scheme val="minor"/>
    </font>
    <font>
      <sz val="10"/>
      <color rgb="FF3F3F76"/>
      <name val="Calibri"/>
      <family val="1"/>
      <scheme val="minor"/>
    </font>
    <font>
      <b/>
      <sz val="10"/>
      <color rgb="FFFA7D00"/>
      <name val="Calibri"/>
      <family val="1"/>
      <scheme val="minor"/>
    </font>
    <font>
      <b/>
      <sz val="10"/>
      <name val="Calibri"/>
      <family val="1"/>
      <scheme val="minor"/>
    </font>
    <font>
      <sz val="11"/>
      <color theme="1"/>
      <name val="Calibri"/>
      <family val="1"/>
      <scheme val="minor"/>
    </font>
    <font>
      <sz val="10"/>
      <color indexed="23"/>
      <name val="Calibri"/>
      <family val="1"/>
      <scheme val="minor"/>
    </font>
    <font>
      <b/>
      <sz val="14"/>
      <color rgb="FF0050C7"/>
      <name val="Calibri"/>
      <family val="2"/>
      <scheme val="minor"/>
    </font>
    <font>
      <b/>
      <sz val="14"/>
      <color rgb="FFB80000"/>
      <name val="Calibri"/>
      <family val="2"/>
      <scheme val="minor"/>
    </font>
    <font>
      <sz val="12"/>
      <color rgb="FF0050C7"/>
      <name val="Calibri"/>
      <family val="2"/>
      <scheme val="minor"/>
    </font>
    <font>
      <sz val="12"/>
      <color rgb="FFB80000"/>
      <name val="Calibri"/>
      <family val="2"/>
      <scheme val="minor"/>
    </font>
  </fonts>
  <fills count="14">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rgb="FFFFFF99"/>
        <bgColor indexed="64"/>
      </patternFill>
    </fill>
    <fill>
      <patternFill patternType="solid">
        <fgColor rgb="FF66FFFF"/>
        <bgColor indexed="64"/>
      </patternFill>
    </fill>
    <fill>
      <patternFill patternType="solid">
        <fgColor rgb="FFFFFF00"/>
        <bgColor indexed="64"/>
      </patternFill>
    </fill>
    <fill>
      <patternFill patternType="solid">
        <fgColor rgb="FFCCFFFF"/>
        <bgColor indexed="64"/>
      </patternFill>
    </fill>
    <fill>
      <patternFill patternType="solid">
        <fgColor rgb="FF66CCFF"/>
        <bgColor indexed="64"/>
      </patternFill>
    </fill>
    <fill>
      <patternFill patternType="solid">
        <fgColor rgb="FFCCFFCC"/>
        <bgColor indexed="64"/>
      </patternFill>
    </fill>
    <fill>
      <patternFill patternType="solid">
        <fgColor rgb="FFFFCC99"/>
      </patternFill>
    </fill>
    <fill>
      <patternFill patternType="solid">
        <fgColor rgb="FFF2F2F2"/>
      </patternFill>
    </fill>
    <fill>
      <patternFill patternType="solid">
        <fgColor theme="6" tint="0.79998168889431442"/>
        <bgColor theme="6" tint="0.79998168889431442"/>
      </patternFill>
    </fill>
    <fill>
      <patternFill patternType="solid">
        <fgColor indexed="9"/>
      </patternFill>
    </fill>
  </fills>
  <borders count="28">
    <border>
      <left/>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top/>
      <bottom style="hair">
        <color indexed="16"/>
      </bottom>
      <diagonal/>
    </border>
    <border>
      <left style="hair">
        <color indexed="16"/>
      </left>
      <right/>
      <top style="hair">
        <color indexed="16"/>
      </top>
      <bottom style="hair">
        <color indexed="16"/>
      </bottom>
      <diagonal/>
    </border>
    <border>
      <left/>
      <right/>
      <top style="hair">
        <color indexed="16"/>
      </top>
      <bottom style="hair">
        <color indexed="16"/>
      </bottom>
      <diagonal/>
    </border>
    <border>
      <left/>
      <right style="hair">
        <color indexed="16"/>
      </right>
      <top style="hair">
        <color indexed="16"/>
      </top>
      <bottom style="hair">
        <color indexed="16"/>
      </bottom>
      <diagonal/>
    </border>
    <border>
      <left style="hair">
        <color indexed="16"/>
      </left>
      <right/>
      <top/>
      <bottom/>
      <diagonal/>
    </border>
    <border>
      <left style="hair">
        <color indexed="16"/>
      </left>
      <right/>
      <top/>
      <bottom style="hair">
        <color indexed="16"/>
      </bottom>
      <diagonal/>
    </border>
    <border>
      <left style="hair">
        <color indexed="16"/>
      </left>
      <right/>
      <top style="hair">
        <color indexed="16"/>
      </top>
      <bottom/>
      <diagonal/>
    </border>
    <border>
      <left/>
      <right style="hair">
        <color indexed="16"/>
      </right>
      <top style="hair">
        <color indexed="16"/>
      </top>
      <bottom/>
      <diagonal/>
    </border>
    <border>
      <left/>
      <right/>
      <top style="hair">
        <color indexed="16"/>
      </top>
      <bottom/>
      <diagonal/>
    </border>
    <border>
      <left style="thin">
        <color auto="1"/>
      </left>
      <right style="thin">
        <color auto="1"/>
      </right>
      <top/>
      <bottom/>
      <diagonal/>
    </border>
  </borders>
  <cellStyleXfs count="8">
    <xf numFmtId="0" fontId="0" fillId="0" borderId="0"/>
    <xf numFmtId="0" fontId="1" fillId="0" borderId="0"/>
    <xf numFmtId="9" fontId="6" fillId="0" borderId="0" applyFont="0" applyFill="0" applyBorder="0" applyAlignment="0" applyProtection="0"/>
    <xf numFmtId="0" fontId="32" fillId="12" borderId="0" applyNumberFormat="0" applyBorder="0" applyAlignment="0" applyProtection="0"/>
    <xf numFmtId="0" fontId="33" fillId="11" borderId="17" applyNumberFormat="0" applyAlignment="0" applyProtection="0"/>
    <xf numFmtId="44" fontId="1" fillId="0" borderId="0" applyFont="0" applyFill="0" applyBorder="0" applyAlignment="0" applyProtection="0"/>
    <xf numFmtId="0" fontId="34" fillId="10" borderId="17" applyNumberFormat="0" applyAlignment="0" applyProtection="0"/>
    <xf numFmtId="0" fontId="35" fillId="0" borderId="0"/>
  </cellStyleXfs>
  <cellXfs count="184">
    <xf numFmtId="0" fontId="0" fillId="0" borderId="0" xfId="0"/>
    <xf numFmtId="0" fontId="7" fillId="3" borderId="0" xfId="0" applyFont="1" applyFill="1"/>
    <xf numFmtId="0" fontId="0" fillId="4" borderId="0" xfId="0" applyFill="1"/>
    <xf numFmtId="0" fontId="8" fillId="4" borderId="0" xfId="0" applyFont="1" applyFill="1"/>
    <xf numFmtId="0" fontId="9" fillId="4" borderId="0" xfId="0" applyFont="1" applyFill="1"/>
    <xf numFmtId="9" fontId="10" fillId="4" borderId="0" xfId="2" applyFont="1" applyFill="1"/>
    <xf numFmtId="164" fontId="10" fillId="4" borderId="0" xfId="2" applyNumberFormat="1" applyFont="1" applyFill="1" applyAlignment="1">
      <alignment horizontal="center"/>
    </xf>
    <xf numFmtId="42" fontId="10" fillId="4" borderId="0" xfId="0" applyNumberFormat="1" applyFont="1" applyFill="1"/>
    <xf numFmtId="44" fontId="11" fillId="4" borderId="0" xfId="0" applyNumberFormat="1" applyFont="1" applyFill="1"/>
    <xf numFmtId="6" fontId="10" fillId="4" borderId="0" xfId="0" applyNumberFormat="1" applyFont="1" applyFill="1"/>
    <xf numFmtId="0" fontId="8" fillId="4" borderId="0" xfId="0" applyFont="1" applyFill="1" applyAlignment="1">
      <alignment horizontal="center"/>
    </xf>
    <xf numFmtId="0" fontId="12" fillId="5" borderId="1" xfId="0" applyFont="1" applyFill="1" applyBorder="1"/>
    <xf numFmtId="0" fontId="8" fillId="5" borderId="0" xfId="0" applyFont="1" applyFill="1" applyBorder="1"/>
    <xf numFmtId="2" fontId="8" fillId="5" borderId="0" xfId="0" applyNumberFormat="1" applyFont="1" applyFill="1" applyBorder="1"/>
    <xf numFmtId="0" fontId="8" fillId="5" borderId="0" xfId="0" applyFont="1" applyFill="1"/>
    <xf numFmtId="0" fontId="0" fillId="5" borderId="0" xfId="0" applyFill="1"/>
    <xf numFmtId="43" fontId="11" fillId="4" borderId="0" xfId="0" applyNumberFormat="1" applyFont="1" applyFill="1"/>
    <xf numFmtId="0" fontId="13" fillId="2" borderId="0" xfId="1" applyFont="1" applyFill="1" applyBorder="1"/>
    <xf numFmtId="0" fontId="14" fillId="6" borderId="0" xfId="1" applyFont="1" applyFill="1" applyBorder="1"/>
    <xf numFmtId="0" fontId="13" fillId="6" borderId="0" xfId="1" applyFont="1" applyFill="1" applyBorder="1"/>
    <xf numFmtId="0" fontId="15" fillId="6" borderId="0" xfId="1" applyFont="1" applyFill="1" applyBorder="1"/>
    <xf numFmtId="2" fontId="16" fillId="2" borderId="0" xfId="1" applyNumberFormat="1" applyFont="1" applyFill="1" applyBorder="1" applyAlignment="1"/>
    <xf numFmtId="0" fontId="17" fillId="2" borderId="0" xfId="1" applyFont="1" applyFill="1" applyBorder="1"/>
    <xf numFmtId="0" fontId="19" fillId="2" borderId="0" xfId="1" applyFont="1" applyFill="1" applyBorder="1"/>
    <xf numFmtId="0" fontId="20" fillId="2" borderId="0" xfId="1" applyFont="1" applyFill="1" applyBorder="1"/>
    <xf numFmtId="0" fontId="21" fillId="2" borderId="0" xfId="1" applyFont="1" applyFill="1" applyBorder="1"/>
    <xf numFmtId="0" fontId="18" fillId="2" borderId="0" xfId="1" applyFont="1" applyFill="1" applyBorder="1"/>
    <xf numFmtId="41" fontId="10" fillId="4" borderId="0" xfId="0" applyNumberFormat="1" applyFont="1" applyFill="1"/>
    <xf numFmtId="166" fontId="11" fillId="4" borderId="0" xfId="0" applyNumberFormat="1" applyFont="1" applyFill="1"/>
    <xf numFmtId="0" fontId="12" fillId="5" borderId="0" xfId="0" applyFont="1" applyFill="1" applyBorder="1"/>
    <xf numFmtId="0" fontId="24" fillId="8" borderId="3" xfId="0" applyFont="1" applyFill="1" applyBorder="1"/>
    <xf numFmtId="0" fontId="25" fillId="8" borderId="4" xfId="0" applyFont="1" applyFill="1" applyBorder="1"/>
    <xf numFmtId="0" fontId="25" fillId="8" borderId="5" xfId="0" applyFont="1" applyFill="1" applyBorder="1"/>
    <xf numFmtId="0" fontId="24" fillId="8" borderId="6" xfId="0" applyFont="1" applyFill="1" applyBorder="1"/>
    <xf numFmtId="0" fontId="26" fillId="8" borderId="7" xfId="0" applyFont="1" applyFill="1" applyBorder="1"/>
    <xf numFmtId="0" fontId="26" fillId="8" borderId="8" xfId="0" applyFont="1" applyFill="1" applyBorder="1"/>
    <xf numFmtId="0" fontId="8" fillId="9" borderId="9" xfId="0" applyFont="1" applyFill="1" applyBorder="1" applyAlignment="1">
      <alignment horizontal="center"/>
    </xf>
    <xf numFmtId="0" fontId="8" fillId="9" borderId="10" xfId="0" applyFont="1" applyFill="1" applyBorder="1" applyAlignment="1">
      <alignment horizontal="center" wrapText="1"/>
    </xf>
    <xf numFmtId="0" fontId="8" fillId="9" borderId="11" xfId="0" applyFont="1" applyFill="1" applyBorder="1" applyAlignment="1">
      <alignment horizontal="center" wrapText="1"/>
    </xf>
    <xf numFmtId="0" fontId="8" fillId="9" borderId="1" xfId="0" applyFont="1" applyFill="1" applyBorder="1" applyAlignment="1">
      <alignment horizontal="center"/>
    </xf>
    <xf numFmtId="0" fontId="8" fillId="9" borderId="13" xfId="0" applyFont="1" applyFill="1" applyBorder="1" applyAlignment="1">
      <alignment horizontal="center"/>
    </xf>
    <xf numFmtId="0" fontId="8" fillId="9" borderId="9" xfId="0" applyFont="1" applyFill="1" applyBorder="1"/>
    <xf numFmtId="37" fontId="8" fillId="9" borderId="1" xfId="0" applyNumberFormat="1" applyFont="1" applyFill="1" applyBorder="1" applyAlignment="1">
      <alignment horizontal="center"/>
    </xf>
    <xf numFmtId="37" fontId="8" fillId="9" borderId="13" xfId="0" applyNumberFormat="1" applyFont="1" applyFill="1" applyBorder="1" applyAlignment="1">
      <alignment horizontal="center"/>
    </xf>
    <xf numFmtId="0" fontId="8" fillId="9" borderId="1" xfId="0" applyFont="1" applyFill="1" applyBorder="1" applyAlignment="1">
      <alignment wrapText="1"/>
    </xf>
    <xf numFmtId="0" fontId="8" fillId="9" borderId="1" xfId="0" applyFont="1" applyFill="1" applyBorder="1"/>
    <xf numFmtId="0" fontId="28" fillId="9" borderId="1" xfId="0" applyFont="1" applyFill="1" applyBorder="1" applyAlignment="1">
      <alignment horizontal="center"/>
    </xf>
    <xf numFmtId="0" fontId="28" fillId="9" borderId="13" xfId="0" applyFont="1" applyFill="1" applyBorder="1" applyAlignment="1">
      <alignment horizontal="center"/>
    </xf>
    <xf numFmtId="0" fontId="29" fillId="9" borderId="9" xfId="0" applyFont="1" applyFill="1" applyBorder="1" applyAlignment="1">
      <alignment horizontal="center"/>
    </xf>
    <xf numFmtId="0" fontId="29" fillId="9" borderId="11" xfId="0" applyFont="1" applyFill="1" applyBorder="1"/>
    <xf numFmtId="0" fontId="29" fillId="9" borderId="11" xfId="0" applyFont="1" applyFill="1" applyBorder="1" applyAlignment="1">
      <alignment horizontal="center" wrapText="1"/>
    </xf>
    <xf numFmtId="0" fontId="13" fillId="2" borderId="0" xfId="1" applyFont="1" applyFill="1"/>
    <xf numFmtId="0" fontId="18" fillId="2" borderId="0" xfId="1" applyFont="1" applyFill="1"/>
    <xf numFmtId="0" fontId="8" fillId="4" borderId="0" xfId="0" applyFont="1" applyFill="1" applyAlignment="1">
      <alignment wrapText="1"/>
    </xf>
    <xf numFmtId="0" fontId="8" fillId="4" borderId="0" xfId="0" applyFont="1" applyFill="1" applyAlignment="1">
      <alignment horizontal="left" wrapText="1"/>
    </xf>
    <xf numFmtId="0" fontId="8" fillId="5" borderId="0" xfId="0" applyFont="1" applyFill="1" applyBorder="1" applyAlignment="1">
      <alignment horizontal="left" wrapText="1"/>
    </xf>
    <xf numFmtId="0" fontId="9" fillId="4" borderId="0" xfId="0" applyFont="1" applyFill="1" applyAlignment="1">
      <alignment horizontal="left"/>
    </xf>
    <xf numFmtId="0" fontId="23" fillId="9" borderId="9" xfId="0" applyFont="1" applyFill="1" applyBorder="1" applyAlignment="1">
      <alignment horizontal="center"/>
    </xf>
    <xf numFmtId="0" fontId="23" fillId="9" borderId="11" xfId="0" applyFont="1" applyFill="1" applyBorder="1" applyAlignment="1">
      <alignment horizontal="center"/>
    </xf>
    <xf numFmtId="0" fontId="23" fillId="4" borderId="0" xfId="0" applyFont="1" applyFill="1" applyAlignment="1">
      <alignment horizontal="right"/>
    </xf>
    <xf numFmtId="0" fontId="26" fillId="8" borderId="3" xfId="0" applyFont="1" applyFill="1" applyBorder="1"/>
    <xf numFmtId="0" fontId="27" fillId="8" borderId="4" xfId="0" applyFont="1" applyFill="1" applyBorder="1"/>
    <xf numFmtId="0" fontId="30" fillId="4" borderId="0" xfId="0" applyFont="1" applyFill="1"/>
    <xf numFmtId="0" fontId="31" fillId="8" borderId="7" xfId="0" applyFont="1" applyFill="1" applyBorder="1"/>
    <xf numFmtId="0" fontId="31" fillId="8" borderId="8" xfId="0" applyFont="1" applyFill="1" applyBorder="1"/>
    <xf numFmtId="2" fontId="11" fillId="4" borderId="0" xfId="0" applyNumberFormat="1" applyFont="1" applyFill="1"/>
    <xf numFmtId="0" fontId="9" fillId="4" borderId="0" xfId="0" applyFont="1" applyFill="1" applyAlignment="1"/>
    <xf numFmtId="0" fontId="31" fillId="8" borderId="5" xfId="0" applyFont="1" applyFill="1" applyBorder="1"/>
    <xf numFmtId="0" fontId="36" fillId="8" borderId="8" xfId="0" applyFont="1" applyFill="1" applyBorder="1"/>
    <xf numFmtId="0" fontId="23" fillId="9" borderId="10" xfId="0" applyFont="1" applyFill="1" applyBorder="1" applyAlignment="1">
      <alignment horizontal="center" wrapText="1"/>
    </xf>
    <xf numFmtId="0" fontId="23" fillId="9" borderId="11" xfId="0" applyFont="1" applyFill="1" applyBorder="1" applyAlignment="1">
      <alignment horizontal="center" wrapText="1"/>
    </xf>
    <xf numFmtId="0" fontId="37" fillId="13" borderId="0" xfId="7" applyFont="1" applyFill="1" applyBorder="1" applyAlignment="1"/>
    <xf numFmtId="0" fontId="35" fillId="0" borderId="0" xfId="7" applyFont="1" applyAlignment="1"/>
    <xf numFmtId="0" fontId="35" fillId="13" borderId="0" xfId="7" applyFont="1" applyFill="1" applyBorder="1" applyAlignment="1">
      <alignment horizontal="left"/>
    </xf>
    <xf numFmtId="0" fontId="35" fillId="0" borderId="0" xfId="7" applyFont="1" applyBorder="1"/>
    <xf numFmtId="0" fontId="35" fillId="13" borderId="18" xfId="7" applyFont="1" applyFill="1" applyBorder="1" applyAlignment="1">
      <alignment horizontal="left"/>
    </xf>
    <xf numFmtId="0" fontId="35" fillId="13" borderId="18" xfId="7" applyFont="1" applyFill="1" applyBorder="1"/>
    <xf numFmtId="0" fontId="35" fillId="13" borderId="0" xfId="7" applyFont="1" applyFill="1" applyBorder="1"/>
    <xf numFmtId="0" fontId="35" fillId="13" borderId="22" xfId="7" applyFont="1" applyFill="1" applyBorder="1" applyAlignment="1">
      <alignment horizontal="left"/>
    </xf>
    <xf numFmtId="0" fontId="35" fillId="13" borderId="0" xfId="7" applyFont="1" applyFill="1" applyBorder="1" applyAlignment="1">
      <alignment horizontal="right"/>
    </xf>
    <xf numFmtId="44" fontId="39" fillId="10" borderId="17" xfId="6" applyNumberFormat="1" applyFont="1" applyAlignment="1" applyProtection="1">
      <alignment horizontal="right"/>
      <protection locked="0"/>
    </xf>
    <xf numFmtId="44" fontId="40" fillId="11" borderId="17" xfId="4" applyNumberFormat="1" applyFont="1" applyAlignment="1">
      <alignment horizontal="right"/>
    </xf>
    <xf numFmtId="169" fontId="39" fillId="10" borderId="17" xfId="6" applyNumberFormat="1" applyFont="1" applyAlignment="1" applyProtection="1">
      <alignment horizontal="right"/>
      <protection locked="0"/>
    </xf>
    <xf numFmtId="170" fontId="40" fillId="11" borderId="17" xfId="4" applyNumberFormat="1" applyFont="1" applyAlignment="1">
      <alignment horizontal="right"/>
    </xf>
    <xf numFmtId="170" fontId="39" fillId="10" borderId="17" xfId="6" applyNumberFormat="1" applyFont="1" applyAlignment="1" applyProtection="1">
      <alignment horizontal="right"/>
      <protection locked="0"/>
    </xf>
    <xf numFmtId="14" fontId="39" fillId="10" borderId="17" xfId="6" applyNumberFormat="1" applyFont="1" applyAlignment="1" applyProtection="1">
      <alignment horizontal="right"/>
      <protection locked="0"/>
    </xf>
    <xf numFmtId="0" fontId="35" fillId="13" borderId="23" xfId="7" applyFont="1" applyFill="1" applyBorder="1" applyAlignment="1">
      <alignment horizontal="left"/>
    </xf>
    <xf numFmtId="0" fontId="35" fillId="13" borderId="18" xfId="7" applyFont="1" applyFill="1" applyBorder="1" applyAlignment="1">
      <alignment horizontal="right"/>
    </xf>
    <xf numFmtId="0" fontId="35" fillId="13" borderId="0" xfId="7" applyNumberFormat="1" applyFont="1" applyFill="1" applyBorder="1" applyAlignment="1">
      <alignment horizontal="left"/>
    </xf>
    <xf numFmtId="0" fontId="41" fillId="13" borderId="0" xfId="7" applyFont="1" applyFill="1" applyBorder="1" applyAlignment="1">
      <alignment horizontal="right"/>
    </xf>
    <xf numFmtId="0" fontId="35" fillId="13" borderId="0" xfId="7" applyFont="1" applyFill="1"/>
    <xf numFmtId="0" fontId="35" fillId="13" borderId="26" xfId="7" applyFont="1" applyFill="1" applyBorder="1" applyAlignment="1" applyProtection="1">
      <alignment horizontal="left"/>
    </xf>
    <xf numFmtId="0" fontId="42" fillId="12" borderId="0" xfId="3" applyFont="1" applyBorder="1" applyAlignment="1">
      <alignment horizontal="left"/>
    </xf>
    <xf numFmtId="0" fontId="42" fillId="12" borderId="0" xfId="3" applyFont="1" applyBorder="1"/>
    <xf numFmtId="0" fontId="38" fillId="12" borderId="12" xfId="3" applyFont="1" applyBorder="1" applyAlignment="1" applyProtection="1">
      <alignment horizontal="center" vertical="center" wrapText="1"/>
    </xf>
    <xf numFmtId="0" fontId="38" fillId="12" borderId="27" xfId="3" applyFont="1" applyBorder="1" applyAlignment="1" applyProtection="1">
      <alignment horizontal="center" vertical="center" wrapText="1"/>
    </xf>
    <xf numFmtId="0" fontId="38" fillId="12" borderId="1" xfId="3" applyFont="1" applyBorder="1" applyAlignment="1" applyProtection="1">
      <alignment horizontal="center" vertical="center" wrapText="1"/>
    </xf>
    <xf numFmtId="0" fontId="35" fillId="0" borderId="0" xfId="7" applyFont="1" applyBorder="1" applyAlignment="1">
      <alignment wrapText="1"/>
    </xf>
    <xf numFmtId="0" fontId="42" fillId="12" borderId="18" xfId="3" applyFont="1" applyBorder="1" applyAlignment="1">
      <alignment horizontal="left"/>
    </xf>
    <xf numFmtId="0" fontId="42" fillId="12" borderId="18" xfId="3" applyFont="1" applyBorder="1" applyAlignment="1" applyProtection="1">
      <alignment horizontal="left" wrapText="1" indent="2"/>
    </xf>
    <xf numFmtId="0" fontId="42" fillId="12" borderId="18" xfId="3" applyFont="1" applyBorder="1" applyAlignment="1" applyProtection="1">
      <alignment horizontal="left" wrapText="1" indent="3"/>
    </xf>
    <xf numFmtId="0" fontId="43" fillId="13" borderId="0" xfId="7" applyFont="1" applyFill="1" applyBorder="1" applyAlignment="1">
      <alignment horizontal="left"/>
    </xf>
    <xf numFmtId="14" fontId="43" fillId="13" borderId="0" xfId="7" applyNumberFormat="1" applyFont="1" applyFill="1" applyBorder="1" applyAlignment="1">
      <alignment horizontal="right"/>
    </xf>
    <xf numFmtId="44" fontId="43" fillId="13" borderId="0" xfId="5" applyNumberFormat="1" applyFont="1" applyFill="1" applyBorder="1" applyAlignment="1">
      <alignment horizontal="right"/>
    </xf>
    <xf numFmtId="44" fontId="43" fillId="13" borderId="0" xfId="5" applyNumberFormat="1" applyFont="1" applyFill="1" applyBorder="1" applyAlignment="1" applyProtection="1">
      <alignment horizontal="right"/>
      <protection locked="0"/>
    </xf>
    <xf numFmtId="0" fontId="35" fillId="0" borderId="0" xfId="7" applyFont="1" applyBorder="1" applyAlignment="1">
      <alignment horizontal="left"/>
    </xf>
    <xf numFmtId="0" fontId="35" fillId="0" borderId="0" xfId="7" applyFont="1" applyBorder="1" applyAlignment="1">
      <alignment horizontal="center"/>
    </xf>
    <xf numFmtId="0" fontId="8" fillId="4" borderId="0" xfId="0" applyFont="1" applyFill="1" applyAlignment="1">
      <alignment vertical="center"/>
    </xf>
    <xf numFmtId="0" fontId="23" fillId="4" borderId="0" xfId="0" applyFont="1" applyFill="1" applyAlignment="1">
      <alignment vertical="center"/>
    </xf>
    <xf numFmtId="0" fontId="22" fillId="4" borderId="0" xfId="0" applyFont="1" applyFill="1" applyAlignment="1">
      <alignment vertical="center"/>
    </xf>
    <xf numFmtId="0" fontId="8" fillId="4" borderId="0" xfId="0" applyFont="1" applyFill="1" applyAlignment="1"/>
    <xf numFmtId="0" fontId="44" fillId="6" borderId="0" xfId="1" applyFont="1" applyFill="1" applyBorder="1"/>
    <xf numFmtId="0" fontId="45" fillId="6" borderId="0" xfId="1" applyFont="1" applyFill="1" applyBorder="1"/>
    <xf numFmtId="41" fontId="46" fillId="4" borderId="0" xfId="0" applyNumberFormat="1" applyFont="1" applyFill="1"/>
    <xf numFmtId="42" fontId="46" fillId="4" borderId="0" xfId="0" applyNumberFormat="1" applyFont="1" applyFill="1"/>
    <xf numFmtId="164" fontId="46" fillId="4" borderId="0" xfId="2" applyNumberFormat="1" applyFont="1" applyFill="1" applyAlignment="1">
      <alignment horizontal="right"/>
    </xf>
    <xf numFmtId="6" fontId="46" fillId="4" borderId="0" xfId="0" applyNumberFormat="1" applyFont="1" applyFill="1"/>
    <xf numFmtId="9" fontId="46" fillId="4" borderId="0" xfId="2" applyFont="1" applyFill="1"/>
    <xf numFmtId="44" fontId="47" fillId="4" borderId="0" xfId="0" applyNumberFormat="1" applyFont="1" applyFill="1"/>
    <xf numFmtId="44" fontId="47" fillId="9" borderId="0" xfId="0" applyNumberFormat="1" applyFont="1" applyFill="1" applyBorder="1"/>
    <xf numFmtId="44" fontId="47" fillId="9" borderId="12" xfId="0" applyNumberFormat="1" applyFont="1" applyFill="1" applyBorder="1"/>
    <xf numFmtId="43" fontId="47" fillId="9" borderId="0" xfId="0" applyNumberFormat="1" applyFont="1" applyFill="1" applyBorder="1"/>
    <xf numFmtId="43" fontId="47" fillId="9" borderId="12" xfId="0" applyNumberFormat="1" applyFont="1" applyFill="1" applyBorder="1"/>
    <xf numFmtId="43" fontId="47" fillId="9" borderId="2" xfId="0" applyNumberFormat="1" applyFont="1" applyFill="1" applyBorder="1"/>
    <xf numFmtId="0" fontId="47" fillId="9" borderId="2" xfId="0" applyFont="1" applyFill="1" applyBorder="1"/>
    <xf numFmtId="44" fontId="47" fillId="9" borderId="2" xfId="0" applyNumberFormat="1" applyFont="1" applyFill="1" applyBorder="1"/>
    <xf numFmtId="0" fontId="47" fillId="9" borderId="14" xfId="0" applyFont="1" applyFill="1" applyBorder="1"/>
    <xf numFmtId="44" fontId="47" fillId="9" borderId="14" xfId="0" applyNumberFormat="1" applyFont="1" applyFill="1" applyBorder="1"/>
    <xf numFmtId="165" fontId="47" fillId="9" borderId="0" xfId="0" applyNumberFormat="1" applyFont="1" applyFill="1" applyBorder="1"/>
    <xf numFmtId="165" fontId="47" fillId="9" borderId="12" xfId="0" applyNumberFormat="1" applyFont="1" applyFill="1" applyBorder="1"/>
    <xf numFmtId="165" fontId="47" fillId="9" borderId="2" xfId="0" applyNumberFormat="1" applyFont="1" applyFill="1" applyBorder="1"/>
    <xf numFmtId="165" fontId="47" fillId="9" borderId="14" xfId="0" applyNumberFormat="1" applyFont="1" applyFill="1" applyBorder="1"/>
    <xf numFmtId="9" fontId="46" fillId="9" borderId="0" xfId="2" applyFont="1" applyFill="1" applyBorder="1"/>
    <xf numFmtId="9" fontId="46" fillId="9" borderId="12" xfId="2" applyFont="1" applyFill="1" applyBorder="1"/>
    <xf numFmtId="0" fontId="46" fillId="9" borderId="1" xfId="0" applyFont="1" applyFill="1" applyBorder="1" applyAlignment="1">
      <alignment horizontal="center" wrapText="1"/>
    </xf>
    <xf numFmtId="0" fontId="46" fillId="9" borderId="1" xfId="0" applyFont="1" applyFill="1" applyBorder="1" applyAlignment="1">
      <alignment horizontal="center"/>
    </xf>
    <xf numFmtId="0" fontId="46" fillId="9" borderId="13" xfId="0" applyFont="1" applyFill="1" applyBorder="1" applyAlignment="1">
      <alignment horizontal="center"/>
    </xf>
    <xf numFmtId="166" fontId="47" fillId="4" borderId="0" xfId="0" applyNumberFormat="1" applyFont="1" applyFill="1"/>
    <xf numFmtId="166" fontId="47" fillId="9" borderId="0" xfId="0" applyNumberFormat="1" applyFont="1" applyFill="1" applyBorder="1"/>
    <xf numFmtId="167" fontId="47" fillId="9" borderId="0" xfId="0" applyNumberFormat="1" applyFont="1" applyFill="1" applyBorder="1"/>
    <xf numFmtId="167" fontId="47" fillId="9" borderId="12" xfId="0" applyNumberFormat="1" applyFont="1" applyFill="1" applyBorder="1"/>
    <xf numFmtId="167" fontId="47" fillId="9" borderId="2" xfId="0" applyNumberFormat="1" applyFont="1" applyFill="1" applyBorder="1"/>
    <xf numFmtId="167" fontId="47" fillId="9" borderId="14" xfId="0" applyNumberFormat="1" applyFont="1" applyFill="1" applyBorder="1"/>
    <xf numFmtId="0" fontId="46" fillId="9" borderId="0" xfId="0" applyFont="1" applyFill="1" applyBorder="1" applyAlignment="1">
      <alignment horizontal="center"/>
    </xf>
    <xf numFmtId="0" fontId="46" fillId="9" borderId="2" xfId="0" applyFont="1" applyFill="1" applyBorder="1" applyAlignment="1">
      <alignment horizontal="center"/>
    </xf>
    <xf numFmtId="10" fontId="47" fillId="4" borderId="0" xfId="2" applyNumberFormat="1" applyFont="1" applyFill="1"/>
    <xf numFmtId="168" fontId="47" fillId="4" borderId="0" xfId="2" applyNumberFormat="1" applyFont="1" applyFill="1"/>
    <xf numFmtId="9" fontId="46" fillId="9" borderId="12" xfId="2" applyFont="1" applyFill="1" applyBorder="1" applyAlignment="1">
      <alignment horizontal="center"/>
    </xf>
    <xf numFmtId="9" fontId="46" fillId="9" borderId="14" xfId="2" applyFont="1" applyFill="1" applyBorder="1" applyAlignment="1">
      <alignment horizontal="center"/>
    </xf>
    <xf numFmtId="43" fontId="47" fillId="9" borderId="14" xfId="0" applyNumberFormat="1" applyFont="1" applyFill="1" applyBorder="1"/>
    <xf numFmtId="42" fontId="46" fillId="9" borderId="12" xfId="0" applyNumberFormat="1" applyFont="1" applyFill="1" applyBorder="1"/>
    <xf numFmtId="41" fontId="46" fillId="9" borderId="12" xfId="0" applyNumberFormat="1" applyFont="1" applyFill="1" applyBorder="1"/>
    <xf numFmtId="41" fontId="46" fillId="9" borderId="14" xfId="0" applyNumberFormat="1" applyFont="1" applyFill="1" applyBorder="1"/>
    <xf numFmtId="10" fontId="46" fillId="4" borderId="0" xfId="2" applyNumberFormat="1" applyFont="1" applyFill="1"/>
    <xf numFmtId="41" fontId="46" fillId="4" borderId="0" xfId="2" applyNumberFormat="1" applyFont="1" applyFill="1"/>
    <xf numFmtId="10" fontId="47" fillId="4" borderId="0" xfId="0" applyNumberFormat="1" applyFont="1" applyFill="1"/>
    <xf numFmtId="10" fontId="46" fillId="4" borderId="0" xfId="0" applyNumberFormat="1" applyFont="1" applyFill="1"/>
    <xf numFmtId="2" fontId="47" fillId="4" borderId="0" xfId="0" applyNumberFormat="1" applyFont="1" applyFill="1"/>
    <xf numFmtId="44" fontId="47" fillId="4" borderId="0" xfId="2" applyNumberFormat="1" applyFont="1" applyFill="1"/>
    <xf numFmtId="42" fontId="46" fillId="9" borderId="12" xfId="0" applyNumberFormat="1" applyFont="1" applyFill="1" applyBorder="1" applyAlignment="1">
      <alignment horizontal="center" wrapText="1"/>
    </xf>
    <xf numFmtId="9" fontId="46" fillId="9" borderId="14" xfId="2" applyFont="1" applyFill="1" applyBorder="1"/>
    <xf numFmtId="9" fontId="46" fillId="4" borderId="0" xfId="0" applyNumberFormat="1" applyFont="1" applyFill="1"/>
    <xf numFmtId="44" fontId="47" fillId="7" borderId="0" xfId="0" applyNumberFormat="1" applyFont="1" applyFill="1"/>
    <xf numFmtId="171" fontId="47" fillId="4" borderId="0" xfId="2" applyNumberFormat="1" applyFont="1" applyFill="1"/>
    <xf numFmtId="0" fontId="8" fillId="4" borderId="0" xfId="0" applyFont="1" applyFill="1" applyAlignment="1">
      <alignment horizontal="left" wrapText="1"/>
    </xf>
    <xf numFmtId="0" fontId="8" fillId="5" borderId="0" xfId="0" applyFont="1" applyFill="1" applyBorder="1" applyAlignment="1">
      <alignment horizontal="left" wrapText="1"/>
    </xf>
    <xf numFmtId="0" fontId="9" fillId="4" borderId="0" xfId="0" applyFont="1" applyFill="1" applyAlignment="1">
      <alignment horizontal="left"/>
    </xf>
    <xf numFmtId="0" fontId="9" fillId="9" borderId="10" xfId="0" applyFont="1" applyFill="1" applyBorder="1" applyAlignment="1">
      <alignment horizontal="center"/>
    </xf>
    <xf numFmtId="0" fontId="9" fillId="9" borderId="11" xfId="0" applyFont="1" applyFill="1" applyBorder="1" applyAlignment="1">
      <alignment horizontal="center"/>
    </xf>
    <xf numFmtId="0" fontId="8" fillId="5" borderId="0" xfId="0" applyFont="1" applyFill="1" applyAlignment="1">
      <alignment horizontal="left" wrapText="1"/>
    </xf>
    <xf numFmtId="44" fontId="47" fillId="4" borderId="0" xfId="0" applyNumberFormat="1" applyFont="1" applyFill="1" applyAlignment="1">
      <alignment horizontal="center"/>
    </xf>
    <xf numFmtId="0" fontId="9" fillId="9" borderId="1" xfId="0" applyFont="1" applyFill="1" applyBorder="1" applyAlignment="1">
      <alignment horizontal="center" vertical="center" textRotation="90"/>
    </xf>
    <xf numFmtId="0" fontId="9" fillId="9" borderId="13" xfId="0" applyFont="1" applyFill="1" applyBorder="1" applyAlignment="1">
      <alignment horizontal="center" vertical="center" textRotation="90"/>
    </xf>
    <xf numFmtId="0" fontId="9" fillId="4" borderId="0" xfId="0" applyFont="1" applyFill="1" applyAlignment="1">
      <alignment horizontal="left" wrapText="1"/>
    </xf>
    <xf numFmtId="0" fontId="8" fillId="4" borderId="0" xfId="0" applyFont="1" applyFill="1" applyAlignment="1">
      <alignment horizontal="left"/>
    </xf>
    <xf numFmtId="0" fontId="35" fillId="13" borderId="24" xfId="7" applyFont="1" applyFill="1" applyBorder="1" applyAlignment="1" applyProtection="1">
      <alignment horizontal="left"/>
      <protection locked="0"/>
    </xf>
    <xf numFmtId="0" fontId="35" fillId="13" borderId="25" xfId="7" applyFont="1" applyFill="1" applyBorder="1" applyAlignment="1" applyProtection="1">
      <alignment horizontal="left"/>
      <protection locked="0"/>
    </xf>
    <xf numFmtId="0" fontId="38" fillId="12" borderId="19" xfId="3" applyFont="1" applyBorder="1" applyAlignment="1">
      <alignment horizontal="right"/>
    </xf>
    <xf numFmtId="0" fontId="38" fillId="12" borderId="20" xfId="3" applyFont="1" applyBorder="1" applyAlignment="1">
      <alignment horizontal="right"/>
    </xf>
    <xf numFmtId="0" fontId="38" fillId="12" borderId="21" xfId="3" applyFont="1" applyBorder="1" applyAlignment="1">
      <alignment horizontal="right"/>
    </xf>
    <xf numFmtId="0" fontId="26" fillId="8" borderId="15" xfId="0" applyFont="1" applyFill="1" applyBorder="1" applyAlignment="1">
      <alignment horizontal="left"/>
    </xf>
    <xf numFmtId="0" fontId="26" fillId="8" borderId="16" xfId="0" applyFont="1" applyFill="1" applyBorder="1" applyAlignment="1">
      <alignment horizontal="left"/>
    </xf>
    <xf numFmtId="0" fontId="24" fillId="8" borderId="15" xfId="0" applyFont="1" applyFill="1" applyBorder="1" applyAlignment="1">
      <alignment horizontal="left"/>
    </xf>
    <xf numFmtId="0" fontId="24" fillId="8" borderId="16" xfId="0" applyFont="1" applyFill="1" applyBorder="1" applyAlignment="1">
      <alignment horizontal="left"/>
    </xf>
  </cellXfs>
  <cellStyles count="8">
    <cellStyle name="20% - Accent3 2" xfId="3"/>
    <cellStyle name="Calculation 2" xfId="4"/>
    <cellStyle name="Currency 2" xfId="5"/>
    <cellStyle name="Input 2" xfId="6"/>
    <cellStyle name="Normal" xfId="0" builtinId="0"/>
    <cellStyle name="Normal 2" xfId="1"/>
    <cellStyle name="Normal 3" xfId="7"/>
    <cellStyle name="Percent" xfId="2" builtinId="5"/>
  </cellStyles>
  <dxfs count="6">
    <dxf>
      <fill>
        <patternFill patternType="solid">
          <fgColor indexed="64"/>
          <bgColor indexed="26"/>
        </patternFill>
      </fill>
    </dxf>
    <dxf>
      <fill>
        <patternFill patternType="solid">
          <fgColor indexed="64"/>
          <bgColor indexed="26"/>
        </patternFill>
      </fill>
      <border diagonalUp="0" diagonalDown="0">
        <left/>
        <right/>
        <top/>
        <bottom style="thin">
          <color indexed="22"/>
        </bottom>
      </border>
    </dxf>
    <dxf>
      <font>
        <color indexed="9"/>
      </font>
      <fill>
        <patternFill patternType="solid">
          <fgColor indexed="64"/>
          <bgColor indexed="9"/>
        </patternFill>
      </fill>
    </dxf>
    <dxf>
      <fill>
        <patternFill patternType="solid">
          <fgColor indexed="64"/>
          <bgColor indexed="26"/>
        </patternFill>
      </fill>
    </dxf>
    <dxf>
      <fill>
        <patternFill patternType="solid">
          <fgColor indexed="64"/>
          <bgColor indexed="26"/>
        </patternFill>
      </fill>
      <border diagonalUp="0" diagonalDown="0">
        <left/>
        <right/>
        <top/>
        <bottom style="thin">
          <color indexed="22"/>
        </bottom>
      </border>
    </dxf>
    <dxf>
      <font>
        <color indexed="9"/>
      </font>
      <fill>
        <patternFill patternType="solid">
          <fgColor indexed="64"/>
          <bgColor indexed="9"/>
        </patternFill>
      </fill>
    </dxf>
  </dxfs>
  <tableStyles count="0" defaultTableStyle="TableStyleMedium9" defaultPivotStyle="PivotStyleLight16"/>
  <colors>
    <mruColors>
      <color rgb="FFB80000"/>
      <color rgb="FF0050C7"/>
      <color rgb="FF0000FF"/>
      <color rgb="FF66FFFF"/>
      <color rgb="FFCCFFCC"/>
      <color rgb="FFFF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Future Value, Simple</a:t>
            </a:r>
            <a:r>
              <a:rPr lang="en-US" baseline="0"/>
              <a:t> Interest, and Compound Interest</a:t>
            </a:r>
            <a:endParaRPr lang="en-US"/>
          </a:p>
        </c:rich>
      </c:tx>
      <c:layout>
        <c:manualLayout>
          <c:xMode val="edge"/>
          <c:yMode val="edge"/>
          <c:x val="0.20833342510507871"/>
          <c:y val="3.4374944704945599E-2"/>
        </c:manualLayout>
      </c:layout>
      <c:overlay val="0"/>
    </c:title>
    <c:autoTitleDeleted val="0"/>
    <c:plotArea>
      <c:layout/>
      <c:barChart>
        <c:barDir val="col"/>
        <c:grouping val="stacked"/>
        <c:varyColors val="0"/>
        <c:ser>
          <c:idx val="1"/>
          <c:order val="0"/>
          <c:tx>
            <c:v>Amount with simple interest</c:v>
          </c:tx>
          <c:invertIfNegative val="0"/>
          <c:val>
            <c:numRef>
              <c:f>'Section 4.2'!$C$35:$C$39</c:f>
              <c:numCache>
                <c:formatCode>_("$"* #,##0.00_);_("$"* \(#,##0.00\);_("$"* "-"??_);_(@_)</c:formatCode>
                <c:ptCount val="5"/>
                <c:pt idx="0">
                  <c:v>550</c:v>
                </c:pt>
                <c:pt idx="1">
                  <c:v>600</c:v>
                </c:pt>
                <c:pt idx="2">
                  <c:v>650</c:v>
                </c:pt>
                <c:pt idx="3">
                  <c:v>700</c:v>
                </c:pt>
                <c:pt idx="4">
                  <c:v>750</c:v>
                </c:pt>
              </c:numCache>
            </c:numRef>
          </c:val>
          <c:extLst>
            <c:ext xmlns:c16="http://schemas.microsoft.com/office/drawing/2014/chart" uri="{C3380CC4-5D6E-409C-BE32-E72D297353CC}">
              <c16:uniqueId val="{00000000-33ED-47E7-B350-8D9D240EF7F1}"/>
            </c:ext>
          </c:extLst>
        </c:ser>
        <c:ser>
          <c:idx val="2"/>
          <c:order val="1"/>
          <c:tx>
            <c:v>Compound interest</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'Section 4.2'!$D$35:$D$39</c:f>
              <c:numCache>
                <c:formatCode>_("$"* #,##0.00_);_("$"* \(#,##0.00\);_("$"* "-"??_);_(@_)</c:formatCode>
                <c:ptCount val="5"/>
                <c:pt idx="0">
                  <c:v>0</c:v>
                </c:pt>
                <c:pt idx="1">
                  <c:v>5</c:v>
                </c:pt>
                <c:pt idx="2">
                  <c:v>15.5</c:v>
                </c:pt>
                <c:pt idx="3">
                  <c:v>32.050000000000068</c:v>
                </c:pt>
                <c:pt idx="4">
                  <c:v>55.255000000000109</c:v>
                </c:pt>
              </c:numCache>
            </c:numRef>
          </c:val>
          <c:extLst>
            <c:ext xmlns:c16="http://schemas.microsoft.com/office/drawing/2014/chart" uri="{C3380CC4-5D6E-409C-BE32-E72D297353CC}">
              <c16:uniqueId val="{00000001-33ED-47E7-B350-8D9D240EF7F1}"/>
            </c:ext>
          </c:extLst>
        </c:ser>
        <c:dLbls>
          <c:showLegendKey val="0"/>
          <c:showVal val="0"/>
          <c:showCatName val="0"/>
          <c:showSerName val="0"/>
          <c:showPercent val="0"/>
          <c:showBubbleSize val="0"/>
        </c:dLbls>
        <c:gapWidth val="150"/>
        <c:overlap val="100"/>
        <c:axId val="401622448"/>
        <c:axId val="406643104"/>
      </c:barChart>
      <c:catAx>
        <c:axId val="401622448"/>
        <c:scaling>
          <c:orientation val="minMax"/>
        </c:scaling>
        <c:delete val="0"/>
        <c:axPos val="b"/>
        <c:title>
          <c:tx>
            <c:rich>
              <a:bodyPr/>
              <a:lstStyle/>
              <a:p>
                <a:pPr>
                  <a:defRPr/>
                </a:pPr>
                <a:r>
                  <a:rPr lang="en-US"/>
                  <a:t>Time (years)</a:t>
                </a:r>
              </a:p>
            </c:rich>
          </c:tx>
          <c:overlay val="0"/>
        </c:title>
        <c:numFmt formatCode="General" sourceLinked="1"/>
        <c:majorTickMark val="out"/>
        <c:minorTickMark val="none"/>
        <c:tickLblPos val="nextTo"/>
        <c:crossAx val="406643104"/>
        <c:crosses val="autoZero"/>
        <c:auto val="1"/>
        <c:lblAlgn val="ctr"/>
        <c:lblOffset val="100"/>
        <c:noMultiLvlLbl val="0"/>
      </c:catAx>
      <c:valAx>
        <c:axId val="406643104"/>
        <c:scaling>
          <c:orientation val="minMax"/>
        </c:scaling>
        <c:delete val="0"/>
        <c:axPos val="l"/>
        <c:majorGridlines/>
        <c:title>
          <c:tx>
            <c:rich>
              <a:bodyPr rot="-5400000" vert="horz"/>
              <a:lstStyle/>
              <a:p>
                <a:pPr>
                  <a:defRPr/>
                </a:pPr>
                <a:r>
                  <a:rPr lang="en-US"/>
                  <a:t>Future Value ($)</a:t>
                </a:r>
              </a:p>
            </c:rich>
          </c:tx>
          <c:overlay val="0"/>
        </c:title>
        <c:numFmt formatCode="_(&quot;$&quot;* #,##0_);_(&quot;$&quot;* \(#,##0\);_(&quot;$&quot;* &quot;-&quot;_);_(@_)" sourceLinked="0"/>
        <c:majorTickMark val="out"/>
        <c:minorTickMark val="none"/>
        <c:tickLblPos val="nextTo"/>
        <c:crossAx val="401622448"/>
        <c:crosses val="autoZero"/>
        <c:crossBetween val="between"/>
      </c:valAx>
      <c:spPr>
        <a:effectLst>
          <a:innerShdw blurRad="114300">
            <a:prstClr val="black"/>
          </a:innerShdw>
        </a:effectLst>
      </c:spPr>
    </c:plotArea>
    <c:legend>
      <c:legendPos val="r"/>
      <c:overlay val="0"/>
    </c:legend>
    <c:plotVisOnly val="1"/>
    <c:dispBlanksAs val="gap"/>
    <c:showDLblsOverMax val="0"/>
  </c:chart>
  <c:spPr>
    <a:scene3d>
      <a:camera prst="orthographicFront"/>
      <a:lightRig rig="threePt" dir="t"/>
    </a:scene3d>
    <a:sp3d prstMaterial="metal"/>
  </c:spPr>
  <c:txPr>
    <a:bodyPr/>
    <a:lstStyle/>
    <a:p>
      <a:pPr>
        <a:defRPr sz="1000"/>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Future Value of $1 for Different Periods and Rates</a:t>
            </a:r>
          </a:p>
        </c:rich>
      </c:tx>
      <c:overlay val="0"/>
    </c:title>
    <c:autoTitleDeleted val="0"/>
    <c:plotArea>
      <c:layout/>
      <c:lineChart>
        <c:grouping val="standard"/>
        <c:varyColors val="0"/>
        <c:ser>
          <c:idx val="0"/>
          <c:order val="0"/>
          <c:tx>
            <c:strRef>
              <c:f>'Section 4.2'!$C$71</c:f>
              <c:strCache>
                <c:ptCount val="1"/>
                <c:pt idx="0">
                  <c:v>0%</c:v>
                </c:pt>
              </c:strCache>
            </c:strRef>
          </c:tx>
          <c:spPr>
            <a:ln>
              <a:solidFill>
                <a:srgbClr val="FF0000"/>
              </a:solidFill>
            </a:ln>
          </c:spPr>
          <c:marker>
            <c:symbol val="none"/>
          </c:marker>
          <c:cat>
            <c:numRef>
              <c:f>'Section 4.2'!$B$72:$B$82</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'Section 4.2'!$C$72:$C$82</c:f>
              <c:numCache>
                <c:formatCode>0.000</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0-BEB2-42A7-A4A8-5AA450740EAE}"/>
            </c:ext>
          </c:extLst>
        </c:ser>
        <c:ser>
          <c:idx val="1"/>
          <c:order val="1"/>
          <c:tx>
            <c:strRef>
              <c:f>'Section 4.2'!$D$71</c:f>
              <c:strCache>
                <c:ptCount val="1"/>
                <c:pt idx="0">
                  <c:v>5%</c:v>
                </c:pt>
              </c:strCache>
            </c:strRef>
          </c:tx>
          <c:marker>
            <c:symbol val="none"/>
          </c:marker>
          <c:cat>
            <c:numRef>
              <c:f>'Section 4.2'!$B$72:$B$82</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'Section 4.2'!$D$72:$D$82</c:f>
              <c:numCache>
                <c:formatCode>0.000</c:formatCode>
                <c:ptCount val="11"/>
                <c:pt idx="0">
                  <c:v>1</c:v>
                </c:pt>
                <c:pt idx="1">
                  <c:v>1.05</c:v>
                </c:pt>
                <c:pt idx="2">
                  <c:v>1.1025</c:v>
                </c:pt>
                <c:pt idx="3">
                  <c:v>1.1576250000000001</c:v>
                </c:pt>
                <c:pt idx="4">
                  <c:v>1.21550625</c:v>
                </c:pt>
                <c:pt idx="5">
                  <c:v>1.2762815625000001</c:v>
                </c:pt>
                <c:pt idx="6">
                  <c:v>1.340095640625</c:v>
                </c:pt>
                <c:pt idx="7">
                  <c:v>1.4071004226562502</c:v>
                </c:pt>
                <c:pt idx="8">
                  <c:v>1.4774554437890626</c:v>
                </c:pt>
                <c:pt idx="9">
                  <c:v>1.5513282159785158</c:v>
                </c:pt>
                <c:pt idx="10">
                  <c:v>1.6288946267774416</c:v>
                </c:pt>
              </c:numCache>
            </c:numRef>
          </c:val>
          <c:smooth val="0"/>
          <c:extLst>
            <c:ext xmlns:c16="http://schemas.microsoft.com/office/drawing/2014/chart" uri="{C3380CC4-5D6E-409C-BE32-E72D297353CC}">
              <c16:uniqueId val="{00000001-BEB2-42A7-A4A8-5AA450740EAE}"/>
            </c:ext>
          </c:extLst>
        </c:ser>
        <c:ser>
          <c:idx val="2"/>
          <c:order val="2"/>
          <c:tx>
            <c:strRef>
              <c:f>'Section 4.2'!$E$71</c:f>
              <c:strCache>
                <c:ptCount val="1"/>
                <c:pt idx="0">
                  <c:v>10%</c:v>
                </c:pt>
              </c:strCache>
            </c:strRef>
          </c:tx>
          <c:marker>
            <c:symbol val="none"/>
          </c:marker>
          <c:cat>
            <c:numRef>
              <c:f>'Section 4.2'!$B$72:$B$82</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'Section 4.2'!$E$72:$E$82</c:f>
              <c:numCache>
                <c:formatCode>0.000</c:formatCode>
                <c:ptCount val="11"/>
                <c:pt idx="0">
                  <c:v>1</c:v>
                </c:pt>
                <c:pt idx="1">
                  <c:v>1.1000000000000001</c:v>
                </c:pt>
                <c:pt idx="2">
                  <c:v>1.2100000000000002</c:v>
                </c:pt>
                <c:pt idx="3">
                  <c:v>1.3310000000000004</c:v>
                </c:pt>
                <c:pt idx="4">
                  <c:v>1.4641000000000004</c:v>
                </c:pt>
                <c:pt idx="5">
                  <c:v>1.6105100000000006</c:v>
                </c:pt>
                <c:pt idx="6">
                  <c:v>1.7715610000000008</c:v>
                </c:pt>
                <c:pt idx="7">
                  <c:v>1.9487171000000012</c:v>
                </c:pt>
                <c:pt idx="8">
                  <c:v>2.1435888100000011</c:v>
                </c:pt>
                <c:pt idx="9">
                  <c:v>2.3579476910000015</c:v>
                </c:pt>
                <c:pt idx="10">
                  <c:v>2.5937424601000019</c:v>
                </c:pt>
              </c:numCache>
            </c:numRef>
          </c:val>
          <c:smooth val="0"/>
          <c:extLst>
            <c:ext xmlns:c16="http://schemas.microsoft.com/office/drawing/2014/chart" uri="{C3380CC4-5D6E-409C-BE32-E72D297353CC}">
              <c16:uniqueId val="{00000002-BEB2-42A7-A4A8-5AA450740EAE}"/>
            </c:ext>
          </c:extLst>
        </c:ser>
        <c:ser>
          <c:idx val="3"/>
          <c:order val="3"/>
          <c:tx>
            <c:strRef>
              <c:f>'Section 4.2'!$F$71</c:f>
              <c:strCache>
                <c:ptCount val="1"/>
                <c:pt idx="0">
                  <c:v>15%</c:v>
                </c:pt>
              </c:strCache>
            </c:strRef>
          </c:tx>
          <c:marker>
            <c:symbol val="none"/>
          </c:marker>
          <c:cat>
            <c:numRef>
              <c:f>'Section 4.2'!$B$72:$B$82</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'Section 4.2'!$F$72:$F$82</c:f>
              <c:numCache>
                <c:formatCode>0.000</c:formatCode>
                <c:ptCount val="11"/>
                <c:pt idx="0">
                  <c:v>1</c:v>
                </c:pt>
                <c:pt idx="1">
                  <c:v>1.1499999999999999</c:v>
                </c:pt>
                <c:pt idx="2">
                  <c:v>1.3224999999999998</c:v>
                </c:pt>
                <c:pt idx="3">
                  <c:v>1.5208749999999995</c:v>
                </c:pt>
                <c:pt idx="4">
                  <c:v>1.7490062499999994</c:v>
                </c:pt>
                <c:pt idx="5">
                  <c:v>2.0113571874999994</c:v>
                </c:pt>
                <c:pt idx="6">
                  <c:v>2.3130607656249991</c:v>
                </c:pt>
                <c:pt idx="7">
                  <c:v>2.6600198804687483</c:v>
                </c:pt>
                <c:pt idx="8">
                  <c:v>3.0590228625390603</c:v>
                </c:pt>
                <c:pt idx="9">
                  <c:v>3.5178762919199191</c:v>
                </c:pt>
                <c:pt idx="10">
                  <c:v>4.0455577357079067</c:v>
                </c:pt>
              </c:numCache>
            </c:numRef>
          </c:val>
          <c:smooth val="0"/>
          <c:extLst>
            <c:ext xmlns:c16="http://schemas.microsoft.com/office/drawing/2014/chart" uri="{C3380CC4-5D6E-409C-BE32-E72D297353CC}">
              <c16:uniqueId val="{00000003-BEB2-42A7-A4A8-5AA450740EAE}"/>
            </c:ext>
          </c:extLst>
        </c:ser>
        <c:ser>
          <c:idx val="4"/>
          <c:order val="4"/>
          <c:tx>
            <c:strRef>
              <c:f>'Section 4.2'!$G$71</c:f>
              <c:strCache>
                <c:ptCount val="1"/>
                <c:pt idx="0">
                  <c:v>20%</c:v>
                </c:pt>
              </c:strCache>
            </c:strRef>
          </c:tx>
          <c:marker>
            <c:symbol val="none"/>
          </c:marker>
          <c:cat>
            <c:numRef>
              <c:f>'Section 4.2'!$B$72:$B$82</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'Section 4.2'!$G$72:$G$82</c:f>
              <c:numCache>
                <c:formatCode>0.000</c:formatCode>
                <c:ptCount val="11"/>
                <c:pt idx="0">
                  <c:v>1</c:v>
                </c:pt>
                <c:pt idx="1">
                  <c:v>1.2</c:v>
                </c:pt>
                <c:pt idx="2">
                  <c:v>1.44</c:v>
                </c:pt>
                <c:pt idx="3">
                  <c:v>1.728</c:v>
                </c:pt>
                <c:pt idx="4">
                  <c:v>2.0735999999999999</c:v>
                </c:pt>
                <c:pt idx="5">
                  <c:v>2.4883199999999999</c:v>
                </c:pt>
                <c:pt idx="6">
                  <c:v>2.9859839999999997</c:v>
                </c:pt>
                <c:pt idx="7">
                  <c:v>3.5831807999999996</c:v>
                </c:pt>
                <c:pt idx="8">
                  <c:v>4.2998169599999994</c:v>
                </c:pt>
                <c:pt idx="9">
                  <c:v>5.1597803519999994</c:v>
                </c:pt>
                <c:pt idx="10">
                  <c:v>6.1917364223999991</c:v>
                </c:pt>
              </c:numCache>
            </c:numRef>
          </c:val>
          <c:smooth val="0"/>
          <c:extLst>
            <c:ext xmlns:c16="http://schemas.microsoft.com/office/drawing/2014/chart" uri="{C3380CC4-5D6E-409C-BE32-E72D297353CC}">
              <c16:uniqueId val="{00000004-BEB2-42A7-A4A8-5AA450740EAE}"/>
            </c:ext>
          </c:extLst>
        </c:ser>
        <c:ser>
          <c:idx val="5"/>
          <c:order val="5"/>
          <c:tx>
            <c:strRef>
              <c:f>'Section 4.2'!$C$71</c:f>
              <c:strCache>
                <c:ptCount val="1"/>
                <c:pt idx="0">
                  <c:v>0%</c:v>
                </c:pt>
              </c:strCache>
            </c:strRef>
          </c:tx>
          <c:marker>
            <c:symbol val="none"/>
          </c:marker>
          <c:cat>
            <c:numRef>
              <c:f>'Section 4.2'!$B$72:$B$82</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Lit>
              <c:formatCode>General</c:formatCode>
              <c:ptCount val="1"/>
              <c:pt idx="0">
                <c:v>1</c:v>
              </c:pt>
            </c:numLit>
          </c:val>
          <c:smooth val="0"/>
          <c:extLst>
            <c:ext xmlns:c16="http://schemas.microsoft.com/office/drawing/2014/chart" uri="{C3380CC4-5D6E-409C-BE32-E72D297353CC}">
              <c16:uniqueId val="{00000005-BEB2-42A7-A4A8-5AA450740EAE}"/>
            </c:ext>
          </c:extLst>
        </c:ser>
        <c:dLbls>
          <c:showLegendKey val="0"/>
          <c:showVal val="0"/>
          <c:showCatName val="0"/>
          <c:showSerName val="0"/>
          <c:showPercent val="0"/>
          <c:showBubbleSize val="0"/>
        </c:dLbls>
        <c:smooth val="0"/>
        <c:axId val="406648144"/>
        <c:axId val="406648704"/>
      </c:lineChart>
      <c:catAx>
        <c:axId val="406648144"/>
        <c:scaling>
          <c:orientation val="minMax"/>
        </c:scaling>
        <c:delete val="0"/>
        <c:axPos val="b"/>
        <c:title>
          <c:tx>
            <c:rich>
              <a:bodyPr/>
              <a:lstStyle/>
              <a:p>
                <a:pPr>
                  <a:defRPr/>
                </a:pPr>
                <a:r>
                  <a:rPr lang="en-US"/>
                  <a:t>Time (years)</a:t>
                </a:r>
              </a:p>
            </c:rich>
          </c:tx>
          <c:overlay val="0"/>
        </c:title>
        <c:numFmt formatCode="General" sourceLinked="1"/>
        <c:majorTickMark val="out"/>
        <c:minorTickMark val="none"/>
        <c:tickLblPos val="nextTo"/>
        <c:crossAx val="406648704"/>
        <c:crosses val="autoZero"/>
        <c:auto val="1"/>
        <c:lblAlgn val="ctr"/>
        <c:lblOffset val="100"/>
        <c:tickLblSkip val="1"/>
        <c:noMultiLvlLbl val="0"/>
      </c:catAx>
      <c:valAx>
        <c:axId val="406648704"/>
        <c:scaling>
          <c:orientation val="minMax"/>
        </c:scaling>
        <c:delete val="0"/>
        <c:axPos val="l"/>
        <c:majorGridlines/>
        <c:title>
          <c:tx>
            <c:rich>
              <a:bodyPr rot="-5400000" vert="horz"/>
              <a:lstStyle/>
              <a:p>
                <a:pPr>
                  <a:defRPr/>
                </a:pPr>
                <a:r>
                  <a:rPr lang="en-US"/>
                  <a:t>Future value of</a:t>
                </a:r>
                <a:r>
                  <a:rPr lang="en-US" baseline="0"/>
                  <a:t> $1</a:t>
                </a:r>
                <a:endParaRPr lang="en-US"/>
              </a:p>
            </c:rich>
          </c:tx>
          <c:overlay val="0"/>
        </c:title>
        <c:numFmt formatCode="&quot;$&quot;#,##0" sourceLinked="0"/>
        <c:majorTickMark val="out"/>
        <c:minorTickMark val="none"/>
        <c:tickLblPos val="nextTo"/>
        <c:crossAx val="406648144"/>
        <c:crossesAt val="1"/>
        <c:crossBetween val="midCat"/>
      </c:valAx>
    </c:plotArea>
    <c:legend>
      <c:legendPos val="r"/>
      <c:legendEntry>
        <c:idx val="5"/>
        <c:delete val="1"/>
      </c:legendEntry>
      <c:overlay val="0"/>
    </c:legend>
    <c:plotVisOnly val="1"/>
    <c:dispBlanksAs val="gap"/>
    <c:showDLblsOverMax val="0"/>
  </c:chart>
  <c:spPr>
    <a:ln>
      <a:gradFill>
        <a:gsLst>
          <a:gs pos="0">
            <a:srgbClr val="000082"/>
          </a:gs>
          <a:gs pos="30000">
            <a:srgbClr val="66008F"/>
          </a:gs>
          <a:gs pos="64999">
            <a:srgbClr val="BA0066"/>
          </a:gs>
          <a:gs pos="89999">
            <a:srgbClr val="FF0000"/>
          </a:gs>
          <a:gs pos="100000">
            <a:srgbClr val="FF8200"/>
          </a:gs>
        </a:gsLst>
        <a:lin ang="5400000" scaled="0"/>
      </a:gradFill>
    </a:ln>
  </c:spPr>
  <c:printSettings>
    <c:headerFooter/>
    <c:pageMargins b="0.75000000000000211" l="0.70000000000000062" r="0.70000000000000062" t="0.750000000000002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Present Value of $1 for Different Periods and Rates</a:t>
            </a:r>
          </a:p>
        </c:rich>
      </c:tx>
      <c:overlay val="0"/>
    </c:title>
    <c:autoTitleDeleted val="0"/>
    <c:plotArea>
      <c:layout/>
      <c:lineChart>
        <c:grouping val="standard"/>
        <c:varyColors val="0"/>
        <c:ser>
          <c:idx val="0"/>
          <c:order val="0"/>
          <c:tx>
            <c:strRef>
              <c:f>'Section 4.2'!$D$215</c:f>
              <c:strCache>
                <c:ptCount val="1"/>
                <c:pt idx="0">
                  <c:v>0%</c:v>
                </c:pt>
              </c:strCache>
            </c:strRef>
          </c:tx>
          <c:marker>
            <c:symbol val="none"/>
          </c:marker>
          <c:val>
            <c:numRef>
              <c:f>'Section 4.2'!$D$216:$D$225</c:f>
              <c:numCache>
                <c:formatCode>0.00000</c:formatCode>
                <c:ptCount val="10"/>
                <c:pt idx="0">
                  <c:v>1</c:v>
                </c:pt>
                <c:pt idx="1">
                  <c:v>1</c:v>
                </c:pt>
                <c:pt idx="2">
                  <c:v>1</c:v>
                </c:pt>
                <c:pt idx="3">
                  <c:v>1</c:v>
                </c:pt>
                <c:pt idx="4">
                  <c:v>1</c:v>
                </c:pt>
                <c:pt idx="5">
                  <c:v>1</c:v>
                </c:pt>
                <c:pt idx="6">
                  <c:v>1</c:v>
                </c:pt>
                <c:pt idx="7">
                  <c:v>1</c:v>
                </c:pt>
                <c:pt idx="8">
                  <c:v>1</c:v>
                </c:pt>
                <c:pt idx="9">
                  <c:v>1</c:v>
                </c:pt>
              </c:numCache>
            </c:numRef>
          </c:val>
          <c:smooth val="0"/>
          <c:extLst>
            <c:ext xmlns:c16="http://schemas.microsoft.com/office/drawing/2014/chart" uri="{C3380CC4-5D6E-409C-BE32-E72D297353CC}">
              <c16:uniqueId val="{00000000-E132-4D65-AE8F-B80C07AAB569}"/>
            </c:ext>
          </c:extLst>
        </c:ser>
        <c:ser>
          <c:idx val="1"/>
          <c:order val="1"/>
          <c:tx>
            <c:strRef>
              <c:f>'Section 4.2'!$E$215</c:f>
              <c:strCache>
                <c:ptCount val="1"/>
                <c:pt idx="0">
                  <c:v>5%</c:v>
                </c:pt>
              </c:strCache>
            </c:strRef>
          </c:tx>
          <c:marker>
            <c:symbol val="none"/>
          </c:marker>
          <c:val>
            <c:numRef>
              <c:f>'Section 4.2'!$E$216:$E$225</c:f>
              <c:numCache>
                <c:formatCode>0.00000</c:formatCode>
                <c:ptCount val="10"/>
                <c:pt idx="0">
                  <c:v>1</c:v>
                </c:pt>
                <c:pt idx="1">
                  <c:v>0.95238095238095233</c:v>
                </c:pt>
                <c:pt idx="2">
                  <c:v>0.90702947845804982</c:v>
                </c:pt>
                <c:pt idx="3">
                  <c:v>0.86383759853147601</c:v>
                </c:pt>
                <c:pt idx="4">
                  <c:v>0.82270247479188197</c:v>
                </c:pt>
                <c:pt idx="5">
                  <c:v>0.78352616646845896</c:v>
                </c:pt>
                <c:pt idx="6">
                  <c:v>0.74621539663662761</c:v>
                </c:pt>
                <c:pt idx="7">
                  <c:v>0.71068133013012147</c:v>
                </c:pt>
                <c:pt idx="8">
                  <c:v>0.67683936202868722</c:v>
                </c:pt>
                <c:pt idx="9">
                  <c:v>0.64460891621779726</c:v>
                </c:pt>
              </c:numCache>
            </c:numRef>
          </c:val>
          <c:smooth val="0"/>
          <c:extLst>
            <c:ext xmlns:c16="http://schemas.microsoft.com/office/drawing/2014/chart" uri="{C3380CC4-5D6E-409C-BE32-E72D297353CC}">
              <c16:uniqueId val="{00000001-E132-4D65-AE8F-B80C07AAB569}"/>
            </c:ext>
          </c:extLst>
        </c:ser>
        <c:ser>
          <c:idx val="2"/>
          <c:order val="2"/>
          <c:tx>
            <c:strRef>
              <c:f>'Section 4.2'!$F$215</c:f>
              <c:strCache>
                <c:ptCount val="1"/>
                <c:pt idx="0">
                  <c:v>10%</c:v>
                </c:pt>
              </c:strCache>
            </c:strRef>
          </c:tx>
          <c:marker>
            <c:symbol val="none"/>
          </c:marker>
          <c:val>
            <c:numRef>
              <c:f>'Section 4.2'!$F$216:$F$225</c:f>
              <c:numCache>
                <c:formatCode>0.00000</c:formatCode>
                <c:ptCount val="10"/>
                <c:pt idx="0">
                  <c:v>1</c:v>
                </c:pt>
                <c:pt idx="1">
                  <c:v>0.90909090909090906</c:v>
                </c:pt>
                <c:pt idx="2">
                  <c:v>0.82644628099173545</c:v>
                </c:pt>
                <c:pt idx="3">
                  <c:v>0.75131480090157754</c:v>
                </c:pt>
                <c:pt idx="4">
                  <c:v>0.68301345536507052</c:v>
                </c:pt>
                <c:pt idx="5">
                  <c:v>0.62092132305915493</c:v>
                </c:pt>
                <c:pt idx="6">
                  <c:v>0.56447393005377722</c:v>
                </c:pt>
                <c:pt idx="7">
                  <c:v>0.51315811823070645</c:v>
                </c:pt>
                <c:pt idx="8">
                  <c:v>0.46650738020973315</c:v>
                </c:pt>
                <c:pt idx="9">
                  <c:v>0.42409761837248466</c:v>
                </c:pt>
              </c:numCache>
            </c:numRef>
          </c:val>
          <c:smooth val="0"/>
          <c:extLst>
            <c:ext xmlns:c16="http://schemas.microsoft.com/office/drawing/2014/chart" uri="{C3380CC4-5D6E-409C-BE32-E72D297353CC}">
              <c16:uniqueId val="{00000002-E132-4D65-AE8F-B80C07AAB569}"/>
            </c:ext>
          </c:extLst>
        </c:ser>
        <c:ser>
          <c:idx val="3"/>
          <c:order val="3"/>
          <c:tx>
            <c:strRef>
              <c:f>'Section 4.2'!$G$215</c:f>
              <c:strCache>
                <c:ptCount val="1"/>
                <c:pt idx="0">
                  <c:v>15%</c:v>
                </c:pt>
              </c:strCache>
            </c:strRef>
          </c:tx>
          <c:marker>
            <c:symbol val="none"/>
          </c:marker>
          <c:val>
            <c:numRef>
              <c:f>'Section 4.2'!$G$216:$G$225</c:f>
              <c:numCache>
                <c:formatCode>0.00000</c:formatCode>
                <c:ptCount val="10"/>
                <c:pt idx="0">
                  <c:v>1</c:v>
                </c:pt>
                <c:pt idx="1">
                  <c:v>0.86956521739130443</c:v>
                </c:pt>
                <c:pt idx="2">
                  <c:v>0.7561436672967865</c:v>
                </c:pt>
                <c:pt idx="3">
                  <c:v>0.65751623243198831</c:v>
                </c:pt>
                <c:pt idx="4">
                  <c:v>0.57175324559303342</c:v>
                </c:pt>
                <c:pt idx="5">
                  <c:v>0.49717673529828987</c:v>
                </c:pt>
                <c:pt idx="6">
                  <c:v>0.43232759591155645</c:v>
                </c:pt>
                <c:pt idx="7">
                  <c:v>0.37593703992309269</c:v>
                </c:pt>
                <c:pt idx="8">
                  <c:v>0.32690177384616753</c:v>
                </c:pt>
                <c:pt idx="9">
                  <c:v>0.28426241204014574</c:v>
                </c:pt>
              </c:numCache>
            </c:numRef>
          </c:val>
          <c:smooth val="0"/>
          <c:extLst>
            <c:ext xmlns:c16="http://schemas.microsoft.com/office/drawing/2014/chart" uri="{C3380CC4-5D6E-409C-BE32-E72D297353CC}">
              <c16:uniqueId val="{00000003-E132-4D65-AE8F-B80C07AAB569}"/>
            </c:ext>
          </c:extLst>
        </c:ser>
        <c:ser>
          <c:idx val="4"/>
          <c:order val="4"/>
          <c:tx>
            <c:strRef>
              <c:f>'Section 4.2'!$H$215</c:f>
              <c:strCache>
                <c:ptCount val="1"/>
                <c:pt idx="0">
                  <c:v>20%</c:v>
                </c:pt>
              </c:strCache>
            </c:strRef>
          </c:tx>
          <c:marker>
            <c:symbol val="none"/>
          </c:marker>
          <c:val>
            <c:numRef>
              <c:f>'Section 4.2'!$H$216:$H$225</c:f>
              <c:numCache>
                <c:formatCode>0.00000</c:formatCode>
                <c:ptCount val="10"/>
                <c:pt idx="0">
                  <c:v>1</c:v>
                </c:pt>
                <c:pt idx="1">
                  <c:v>0.83333333333333337</c:v>
                </c:pt>
                <c:pt idx="2">
                  <c:v>0.69444444444444442</c:v>
                </c:pt>
                <c:pt idx="3">
                  <c:v>0.57870370370370372</c:v>
                </c:pt>
                <c:pt idx="4">
                  <c:v>0.48225308641975312</c:v>
                </c:pt>
                <c:pt idx="5">
                  <c:v>0.4018775720164609</c:v>
                </c:pt>
                <c:pt idx="6">
                  <c:v>0.33489797668038412</c:v>
                </c:pt>
                <c:pt idx="7">
                  <c:v>0.27908164723365342</c:v>
                </c:pt>
                <c:pt idx="8">
                  <c:v>0.23256803936137788</c:v>
                </c:pt>
                <c:pt idx="9">
                  <c:v>0.1938066994678149</c:v>
                </c:pt>
              </c:numCache>
            </c:numRef>
          </c:val>
          <c:smooth val="0"/>
          <c:extLst>
            <c:ext xmlns:c16="http://schemas.microsoft.com/office/drawing/2014/chart" uri="{C3380CC4-5D6E-409C-BE32-E72D297353CC}">
              <c16:uniqueId val="{00000004-E132-4D65-AE8F-B80C07AAB569}"/>
            </c:ext>
          </c:extLst>
        </c:ser>
        <c:dLbls>
          <c:showLegendKey val="0"/>
          <c:showVal val="0"/>
          <c:showCatName val="0"/>
          <c:showSerName val="0"/>
          <c:showPercent val="0"/>
          <c:showBubbleSize val="0"/>
        </c:dLbls>
        <c:smooth val="0"/>
        <c:axId val="407262272"/>
        <c:axId val="407262832"/>
      </c:lineChart>
      <c:catAx>
        <c:axId val="407262272"/>
        <c:scaling>
          <c:orientation val="minMax"/>
        </c:scaling>
        <c:delete val="0"/>
        <c:axPos val="b"/>
        <c:title>
          <c:tx>
            <c:rich>
              <a:bodyPr/>
              <a:lstStyle/>
              <a:p>
                <a:pPr>
                  <a:defRPr/>
                </a:pPr>
                <a:r>
                  <a:rPr lang="en-US"/>
                  <a:t>Time (years)</a:t>
                </a:r>
              </a:p>
            </c:rich>
          </c:tx>
          <c:overlay val="0"/>
        </c:title>
        <c:numFmt formatCode="General" sourceLinked="1"/>
        <c:majorTickMark val="out"/>
        <c:minorTickMark val="none"/>
        <c:tickLblPos val="nextTo"/>
        <c:crossAx val="407262832"/>
        <c:crosses val="autoZero"/>
        <c:auto val="1"/>
        <c:lblAlgn val="ctr"/>
        <c:lblOffset val="100"/>
        <c:noMultiLvlLbl val="0"/>
      </c:catAx>
      <c:valAx>
        <c:axId val="407262832"/>
        <c:scaling>
          <c:orientation val="minMax"/>
        </c:scaling>
        <c:delete val="0"/>
        <c:axPos val="l"/>
        <c:majorGridlines/>
        <c:title>
          <c:tx>
            <c:rich>
              <a:bodyPr rot="-5400000" vert="horz"/>
              <a:lstStyle/>
              <a:p>
                <a:pPr>
                  <a:defRPr/>
                </a:pPr>
                <a:r>
                  <a:rPr lang="en-US"/>
                  <a:t>Present value of $1</a:t>
                </a:r>
              </a:p>
            </c:rich>
          </c:tx>
          <c:overlay val="0"/>
        </c:title>
        <c:numFmt formatCode="_(&quot;$&quot;* #,##0.0000_);_(&quot;$&quot;* \(#,##0.0000\);_(&quot;$&quot;* &quot;-&quot;????_);_(@_)" sourceLinked="0"/>
        <c:majorTickMark val="out"/>
        <c:minorTickMark val="none"/>
        <c:tickLblPos val="nextTo"/>
        <c:crossAx val="407262272"/>
        <c:crossesAt val="1"/>
        <c:crossBetween val="midCat"/>
      </c:valAx>
    </c:plotArea>
    <c:legend>
      <c:legendPos val="r"/>
      <c:overlay val="0"/>
    </c:legend>
    <c:plotVisOnly val="1"/>
    <c:dispBlanksAs val="gap"/>
    <c:showDLblsOverMax val="0"/>
  </c:chart>
  <c:spPr>
    <a:ln>
      <a:gradFill>
        <a:gsLst>
          <a:gs pos="0">
            <a:srgbClr val="000082"/>
          </a:gs>
          <a:gs pos="30000">
            <a:srgbClr val="66008F"/>
          </a:gs>
          <a:gs pos="64999">
            <a:srgbClr val="BA0066"/>
          </a:gs>
          <a:gs pos="89999">
            <a:srgbClr val="FF0000"/>
          </a:gs>
          <a:gs pos="100000">
            <a:srgbClr val="FF8200"/>
          </a:gs>
        </a:gsLst>
        <a:lin ang="5400000" scaled="0"/>
      </a:gradFill>
    </a:ln>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Section 4.3'!A16"/><Relationship Id="rId13" Type="http://schemas.openxmlformats.org/officeDocument/2006/relationships/hyperlink" Target="#'Section 4.4'!A88"/><Relationship Id="rId18" Type="http://schemas.openxmlformats.org/officeDocument/2006/relationships/hyperlink" Target="#'Section 4.5'!A76"/><Relationship Id="rId3" Type="http://schemas.openxmlformats.org/officeDocument/2006/relationships/hyperlink" Target="#'Section 4.2'!A201"/><Relationship Id="rId7" Type="http://schemas.openxmlformats.org/officeDocument/2006/relationships/hyperlink" Target="#'Section 4.2'!A386"/><Relationship Id="rId12" Type="http://schemas.openxmlformats.org/officeDocument/2006/relationships/hyperlink" Target="#'Section 4.4'!A55"/><Relationship Id="rId17" Type="http://schemas.openxmlformats.org/officeDocument/2006/relationships/hyperlink" Target="#'Section 4.4'!A234"/><Relationship Id="rId2" Type="http://schemas.openxmlformats.org/officeDocument/2006/relationships/hyperlink" Target="#'Section 4.2'!A172"/><Relationship Id="rId16" Type="http://schemas.openxmlformats.org/officeDocument/2006/relationships/hyperlink" Target="#'Section 4.4'!A196"/><Relationship Id="rId1" Type="http://schemas.openxmlformats.org/officeDocument/2006/relationships/hyperlink" Target="#'Section 4.2'!A120"/><Relationship Id="rId6" Type="http://schemas.openxmlformats.org/officeDocument/2006/relationships/hyperlink" Target="#'Section 4.2'!A351"/><Relationship Id="rId11" Type="http://schemas.openxmlformats.org/officeDocument/2006/relationships/hyperlink" Target="#'Section 4.4'!A20"/><Relationship Id="rId5" Type="http://schemas.openxmlformats.org/officeDocument/2006/relationships/hyperlink" Target="#'Section 4.2'!A302"/><Relationship Id="rId15" Type="http://schemas.openxmlformats.org/officeDocument/2006/relationships/hyperlink" Target="#'Section 4.4'!A154"/><Relationship Id="rId10" Type="http://schemas.openxmlformats.org/officeDocument/2006/relationships/hyperlink" Target="#'Section 4.3'!A75"/><Relationship Id="rId19" Type="http://schemas.openxmlformats.org/officeDocument/2006/relationships/image" Target="../media/image1.PNG"/><Relationship Id="rId4" Type="http://schemas.openxmlformats.org/officeDocument/2006/relationships/hyperlink" Target="#'Section 4.2'!A267"/><Relationship Id="rId9" Type="http://schemas.openxmlformats.org/officeDocument/2006/relationships/hyperlink" Target="#'Section 4.3'!A44"/><Relationship Id="rId14" Type="http://schemas.openxmlformats.org/officeDocument/2006/relationships/hyperlink" Target="#'Section 4.4'!A119"/></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chart" Target="../charts/chart2.xml"/><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image" Target="../media/image4.png"/><Relationship Id="rId11" Type="http://schemas.openxmlformats.org/officeDocument/2006/relationships/image" Target="../media/image9.PNG"/><Relationship Id="rId5" Type="http://schemas.openxmlformats.org/officeDocument/2006/relationships/chart" Target="../charts/chart3.xml"/><Relationship Id="rId10" Type="http://schemas.openxmlformats.org/officeDocument/2006/relationships/image" Target="../media/image8.png"/><Relationship Id="rId4" Type="http://schemas.openxmlformats.org/officeDocument/2006/relationships/image" Target="../media/image3.png"/><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3</xdr:col>
      <xdr:colOff>0</xdr:colOff>
      <xdr:row>11</xdr:row>
      <xdr:rowOff>0</xdr:rowOff>
    </xdr:from>
    <xdr:to>
      <xdr:col>3</xdr:col>
      <xdr:colOff>2743200</xdr:colOff>
      <xdr:row>11</xdr:row>
      <xdr:rowOff>274320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1828800" y="25050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FV </a:t>
          </a:r>
        </a:p>
      </xdr:txBody>
    </xdr:sp>
    <xdr:clientData/>
  </xdr:twoCellAnchor>
  <xdr:oneCellAnchor>
    <xdr:from>
      <xdr:col>3</xdr:col>
      <xdr:colOff>0</xdr:colOff>
      <xdr:row>12</xdr:row>
      <xdr:rowOff>0</xdr:rowOff>
    </xdr:from>
    <xdr:ext cx="2743200" cy="27432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828800" y="30003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PV</a:t>
          </a:r>
        </a:p>
      </xdr:txBody>
    </xdr:sp>
    <xdr:clientData/>
  </xdr:oneCellAnchor>
  <xdr:oneCellAnchor>
    <xdr:from>
      <xdr:col>3</xdr:col>
      <xdr:colOff>0</xdr:colOff>
      <xdr:row>13</xdr:row>
      <xdr:rowOff>0</xdr:rowOff>
    </xdr:from>
    <xdr:ext cx="2743200" cy="27432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828800" y="32956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Two-way</a:t>
          </a:r>
          <a:r>
            <a:rPr lang="en-US" sz="1400" b="1" baseline="0"/>
            <a:t> data tables</a:t>
          </a:r>
          <a:endParaRPr lang="en-US" sz="1400" b="1"/>
        </a:p>
      </xdr:txBody>
    </xdr:sp>
    <xdr:clientData/>
  </xdr:oneCellAnchor>
  <xdr:oneCellAnchor>
    <xdr:from>
      <xdr:col>3</xdr:col>
      <xdr:colOff>0</xdr:colOff>
      <xdr:row>14</xdr:row>
      <xdr:rowOff>0</xdr:rowOff>
    </xdr:from>
    <xdr:ext cx="2743200" cy="274320"/>
    <xdr:sp macro="" textlink="">
      <xdr:nvSpPr>
        <xdr:cNvPr id="6" name="TextBox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1828800" y="35909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RATE</a:t>
          </a:r>
        </a:p>
      </xdr:txBody>
    </xdr:sp>
    <xdr:clientData/>
  </xdr:oneCellAnchor>
  <xdr:oneCellAnchor>
    <xdr:from>
      <xdr:col>3</xdr:col>
      <xdr:colOff>0</xdr:colOff>
      <xdr:row>15</xdr:row>
      <xdr:rowOff>0</xdr:rowOff>
    </xdr:from>
    <xdr:ext cx="2743200" cy="274320"/>
    <xdr:sp macro="" textlink="">
      <xdr:nvSpPr>
        <xdr:cNvPr id="7" name="TextBox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1828800" y="38862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NPER</a:t>
          </a:r>
        </a:p>
      </xdr:txBody>
    </xdr:sp>
    <xdr:clientData/>
  </xdr:oneCellAnchor>
  <xdr:oneCellAnchor>
    <xdr:from>
      <xdr:col>3</xdr:col>
      <xdr:colOff>0</xdr:colOff>
      <xdr:row>16</xdr:row>
      <xdr:rowOff>0</xdr:rowOff>
    </xdr:from>
    <xdr:ext cx="2743200" cy="274320"/>
    <xdr:sp macro="" textlink="">
      <xdr:nvSpPr>
        <xdr:cNvPr id="8" name="TextBox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1828800" y="41814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FVSCHEDULE</a:t>
          </a:r>
        </a:p>
      </xdr:txBody>
    </xdr:sp>
    <xdr:clientData/>
  </xdr:oneCellAnchor>
  <xdr:twoCellAnchor>
    <xdr:from>
      <xdr:col>3</xdr:col>
      <xdr:colOff>0</xdr:colOff>
      <xdr:row>17</xdr:row>
      <xdr:rowOff>0</xdr:rowOff>
    </xdr:from>
    <xdr:to>
      <xdr:col>3</xdr:col>
      <xdr:colOff>2743200</xdr:colOff>
      <xdr:row>18</xdr:row>
      <xdr:rowOff>36195</xdr:rowOff>
    </xdr:to>
    <xdr:sp macro="" textlink="">
      <xdr:nvSpPr>
        <xdr:cNvPr id="9" name="TextBox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1828800" y="44767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noAutofit/>
        </a:bodyPr>
        <a:lstStyle/>
        <a:p>
          <a:pPr algn="ctr"/>
          <a:r>
            <a:rPr lang="en-US" sz="1400" b="1"/>
            <a:t>NPV</a:t>
          </a:r>
        </a:p>
      </xdr:txBody>
    </xdr:sp>
    <xdr:clientData/>
  </xdr:twoCellAnchor>
  <xdr:oneCellAnchor>
    <xdr:from>
      <xdr:col>3</xdr:col>
      <xdr:colOff>0</xdr:colOff>
      <xdr:row>18</xdr:row>
      <xdr:rowOff>0</xdr:rowOff>
    </xdr:from>
    <xdr:ext cx="2743200" cy="274320"/>
    <xdr:sp macro="" textlink="">
      <xdr:nvSpPr>
        <xdr:cNvPr id="10" name="TextBox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1828800" y="47148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EAR</a:t>
          </a:r>
        </a:p>
      </xdr:txBody>
    </xdr:sp>
    <xdr:clientData/>
  </xdr:oneCellAnchor>
  <xdr:oneCellAnchor>
    <xdr:from>
      <xdr:col>3</xdr:col>
      <xdr:colOff>0</xdr:colOff>
      <xdr:row>19</xdr:row>
      <xdr:rowOff>0</xdr:rowOff>
    </xdr:from>
    <xdr:ext cx="2743200" cy="274320"/>
    <xdr:sp macro="" textlink="">
      <xdr:nvSpPr>
        <xdr:cNvPr id="11" name="TextBox 10">
          <a:hlinkClick xmlns:r="http://schemas.openxmlformats.org/officeDocument/2006/relationships" r:id="rId9"/>
          <a:extLst>
            <a:ext uri="{FF2B5EF4-FFF2-40B4-BE49-F238E27FC236}">
              <a16:creationId xmlns:a16="http://schemas.microsoft.com/office/drawing/2014/main" id="{00000000-0008-0000-0000-00000B000000}"/>
            </a:ext>
          </a:extLst>
        </xdr:cNvPr>
        <xdr:cNvSpPr txBox="1"/>
      </xdr:nvSpPr>
      <xdr:spPr>
        <a:xfrm>
          <a:off x="1828800" y="49530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APR</a:t>
          </a:r>
        </a:p>
      </xdr:txBody>
    </xdr:sp>
    <xdr:clientData/>
  </xdr:oneCellAnchor>
  <xdr:oneCellAnchor>
    <xdr:from>
      <xdr:col>3</xdr:col>
      <xdr:colOff>0</xdr:colOff>
      <xdr:row>20</xdr:row>
      <xdr:rowOff>0</xdr:rowOff>
    </xdr:from>
    <xdr:ext cx="2743200" cy="274320"/>
    <xdr:sp macro="" textlink="">
      <xdr:nvSpPr>
        <xdr:cNvPr id="12" name="TextBox 11">
          <a:hlinkClick xmlns:r="http://schemas.openxmlformats.org/officeDocument/2006/relationships" r:id="rId10"/>
          <a:extLst>
            <a:ext uri="{FF2B5EF4-FFF2-40B4-BE49-F238E27FC236}">
              <a16:creationId xmlns:a16="http://schemas.microsoft.com/office/drawing/2014/main" id="{00000000-0008-0000-0000-00000C000000}"/>
            </a:ext>
          </a:extLst>
        </xdr:cNvPr>
        <xdr:cNvSpPr txBox="1"/>
      </xdr:nvSpPr>
      <xdr:spPr>
        <a:xfrm>
          <a:off x="1828800" y="51911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Exponential</a:t>
          </a:r>
          <a:r>
            <a:rPr lang="en-US" sz="1400" b="1" baseline="0"/>
            <a:t> function</a:t>
          </a:r>
          <a:endParaRPr lang="en-US" sz="1400" b="1"/>
        </a:p>
      </xdr:txBody>
    </xdr:sp>
    <xdr:clientData/>
  </xdr:oneCellAnchor>
  <xdr:oneCellAnchor>
    <xdr:from>
      <xdr:col>3</xdr:col>
      <xdr:colOff>0</xdr:colOff>
      <xdr:row>21</xdr:row>
      <xdr:rowOff>0</xdr:rowOff>
    </xdr:from>
    <xdr:ext cx="2743200" cy="274320"/>
    <xdr:sp macro="" textlink="">
      <xdr:nvSpPr>
        <xdr:cNvPr id="13" name="TextBox 12">
          <a:hlinkClick xmlns:r="http://schemas.openxmlformats.org/officeDocument/2006/relationships" r:id="rId11"/>
          <a:extLst>
            <a:ext uri="{FF2B5EF4-FFF2-40B4-BE49-F238E27FC236}">
              <a16:creationId xmlns:a16="http://schemas.microsoft.com/office/drawing/2014/main" id="{00000000-0008-0000-0000-00000D000000}"/>
            </a:ext>
          </a:extLst>
        </xdr:cNvPr>
        <xdr:cNvSpPr txBox="1"/>
      </xdr:nvSpPr>
      <xdr:spPr>
        <a:xfrm>
          <a:off x="1828800" y="54292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PV of an annuity</a:t>
          </a:r>
        </a:p>
      </xdr:txBody>
    </xdr:sp>
    <xdr:clientData/>
  </xdr:oneCellAnchor>
  <xdr:oneCellAnchor>
    <xdr:from>
      <xdr:col>3</xdr:col>
      <xdr:colOff>0</xdr:colOff>
      <xdr:row>22</xdr:row>
      <xdr:rowOff>0</xdr:rowOff>
    </xdr:from>
    <xdr:ext cx="2743200" cy="274320"/>
    <xdr:sp macro="" textlink="">
      <xdr:nvSpPr>
        <xdr:cNvPr id="14" name="TextBox 13">
          <a:hlinkClick xmlns:r="http://schemas.openxmlformats.org/officeDocument/2006/relationships" r:id="rId12"/>
          <a:extLst>
            <a:ext uri="{FF2B5EF4-FFF2-40B4-BE49-F238E27FC236}">
              <a16:creationId xmlns:a16="http://schemas.microsoft.com/office/drawing/2014/main" id="{00000000-0008-0000-0000-00000E000000}"/>
            </a:ext>
          </a:extLst>
        </xdr:cNvPr>
        <xdr:cNvSpPr txBox="1"/>
      </xdr:nvSpPr>
      <xdr:spPr>
        <a:xfrm>
          <a:off x="1828800" y="56673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FV of an annuity</a:t>
          </a:r>
        </a:p>
      </xdr:txBody>
    </xdr:sp>
    <xdr:clientData/>
  </xdr:oneCellAnchor>
  <xdr:oneCellAnchor>
    <xdr:from>
      <xdr:col>3</xdr:col>
      <xdr:colOff>0</xdr:colOff>
      <xdr:row>23</xdr:row>
      <xdr:rowOff>0</xdr:rowOff>
    </xdr:from>
    <xdr:ext cx="2743200" cy="274320"/>
    <xdr:sp macro="" textlink="">
      <xdr:nvSpPr>
        <xdr:cNvPr id="15" name="TextBox 14">
          <a:hlinkClick xmlns:r="http://schemas.openxmlformats.org/officeDocument/2006/relationships" r:id="rId13"/>
          <a:extLst>
            <a:ext uri="{FF2B5EF4-FFF2-40B4-BE49-F238E27FC236}">
              <a16:creationId xmlns:a16="http://schemas.microsoft.com/office/drawing/2014/main" id="{00000000-0008-0000-0000-00000F000000}"/>
            </a:ext>
          </a:extLst>
        </xdr:cNvPr>
        <xdr:cNvSpPr txBox="1"/>
      </xdr:nvSpPr>
      <xdr:spPr>
        <a:xfrm>
          <a:off x="1828800" y="59055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PMT</a:t>
          </a:r>
        </a:p>
      </xdr:txBody>
    </xdr:sp>
    <xdr:clientData/>
  </xdr:oneCellAnchor>
  <xdr:oneCellAnchor>
    <xdr:from>
      <xdr:col>3</xdr:col>
      <xdr:colOff>0</xdr:colOff>
      <xdr:row>24</xdr:row>
      <xdr:rowOff>0</xdr:rowOff>
    </xdr:from>
    <xdr:ext cx="2743200" cy="274320"/>
    <xdr:sp macro="" textlink="">
      <xdr:nvSpPr>
        <xdr:cNvPr id="16" name="TextBox 15">
          <a:hlinkClick xmlns:r="http://schemas.openxmlformats.org/officeDocument/2006/relationships" r:id="rId14"/>
          <a:extLst>
            <a:ext uri="{FF2B5EF4-FFF2-40B4-BE49-F238E27FC236}">
              <a16:creationId xmlns:a16="http://schemas.microsoft.com/office/drawing/2014/main" id="{00000000-0008-0000-0000-000010000000}"/>
            </a:ext>
          </a:extLst>
        </xdr:cNvPr>
        <xdr:cNvSpPr txBox="1"/>
      </xdr:nvSpPr>
      <xdr:spPr>
        <a:xfrm>
          <a:off x="1828800" y="61436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Annuity interest</a:t>
          </a:r>
          <a:r>
            <a:rPr lang="en-US" sz="1400" b="1" baseline="0"/>
            <a:t> rate</a:t>
          </a:r>
          <a:endParaRPr lang="en-US" sz="1400" b="1"/>
        </a:p>
      </xdr:txBody>
    </xdr:sp>
    <xdr:clientData/>
  </xdr:oneCellAnchor>
  <xdr:oneCellAnchor>
    <xdr:from>
      <xdr:col>3</xdr:col>
      <xdr:colOff>0</xdr:colOff>
      <xdr:row>25</xdr:row>
      <xdr:rowOff>0</xdr:rowOff>
    </xdr:from>
    <xdr:ext cx="2743200" cy="274320"/>
    <xdr:sp macro="" textlink="">
      <xdr:nvSpPr>
        <xdr:cNvPr id="17" name="TextBox 16">
          <a:hlinkClick xmlns:r="http://schemas.openxmlformats.org/officeDocument/2006/relationships" r:id="rId15"/>
          <a:extLst>
            <a:ext uri="{FF2B5EF4-FFF2-40B4-BE49-F238E27FC236}">
              <a16:creationId xmlns:a16="http://schemas.microsoft.com/office/drawing/2014/main" id="{00000000-0008-0000-0000-000011000000}"/>
            </a:ext>
          </a:extLst>
        </xdr:cNvPr>
        <xdr:cNvSpPr txBox="1"/>
      </xdr:nvSpPr>
      <xdr:spPr>
        <a:xfrm>
          <a:off x="1828800" y="638175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Annuity periods</a:t>
          </a:r>
        </a:p>
      </xdr:txBody>
    </xdr:sp>
    <xdr:clientData/>
  </xdr:oneCellAnchor>
  <xdr:oneCellAnchor>
    <xdr:from>
      <xdr:col>3</xdr:col>
      <xdr:colOff>0</xdr:colOff>
      <xdr:row>26</xdr:row>
      <xdr:rowOff>0</xdr:rowOff>
    </xdr:from>
    <xdr:ext cx="2743200" cy="274320"/>
    <xdr:sp macro="" textlink="">
      <xdr:nvSpPr>
        <xdr:cNvPr id="18" name="TextBox 17">
          <a:hlinkClick xmlns:r="http://schemas.openxmlformats.org/officeDocument/2006/relationships" r:id="rId16"/>
          <a:extLst>
            <a:ext uri="{FF2B5EF4-FFF2-40B4-BE49-F238E27FC236}">
              <a16:creationId xmlns:a16="http://schemas.microsoft.com/office/drawing/2014/main" id="{00000000-0008-0000-0000-000012000000}"/>
            </a:ext>
          </a:extLst>
        </xdr:cNvPr>
        <xdr:cNvSpPr txBox="1"/>
      </xdr:nvSpPr>
      <xdr:spPr>
        <a:xfrm>
          <a:off x="1828800" y="713422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Nested function</a:t>
          </a:r>
        </a:p>
      </xdr:txBody>
    </xdr:sp>
    <xdr:clientData/>
  </xdr:oneCellAnchor>
  <xdr:oneCellAnchor>
    <xdr:from>
      <xdr:col>3</xdr:col>
      <xdr:colOff>0</xdr:colOff>
      <xdr:row>27</xdr:row>
      <xdr:rowOff>0</xdr:rowOff>
    </xdr:from>
    <xdr:ext cx="2743200" cy="274320"/>
    <xdr:sp macro="" textlink="">
      <xdr:nvSpPr>
        <xdr:cNvPr id="19" name="TextBox 18">
          <a:hlinkClick xmlns:r="http://schemas.openxmlformats.org/officeDocument/2006/relationships" r:id="rId17"/>
          <a:extLst>
            <a:ext uri="{FF2B5EF4-FFF2-40B4-BE49-F238E27FC236}">
              <a16:creationId xmlns:a16="http://schemas.microsoft.com/office/drawing/2014/main" id="{00000000-0008-0000-0000-000013000000}"/>
            </a:ext>
          </a:extLst>
        </xdr:cNvPr>
        <xdr:cNvSpPr txBox="1"/>
      </xdr:nvSpPr>
      <xdr:spPr>
        <a:xfrm>
          <a:off x="1828800" y="7429500"/>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Annuity due</a:t>
          </a:r>
        </a:p>
      </xdr:txBody>
    </xdr:sp>
    <xdr:clientData/>
  </xdr:oneCellAnchor>
  <xdr:oneCellAnchor>
    <xdr:from>
      <xdr:col>3</xdr:col>
      <xdr:colOff>0</xdr:colOff>
      <xdr:row>28</xdr:row>
      <xdr:rowOff>0</xdr:rowOff>
    </xdr:from>
    <xdr:ext cx="2743200" cy="274320"/>
    <xdr:sp macro="" textlink="">
      <xdr:nvSpPr>
        <xdr:cNvPr id="20" name="TextBox 19">
          <a:hlinkClick xmlns:r="http://schemas.openxmlformats.org/officeDocument/2006/relationships" r:id="rId18"/>
          <a:extLst>
            <a:ext uri="{FF2B5EF4-FFF2-40B4-BE49-F238E27FC236}">
              <a16:creationId xmlns:a16="http://schemas.microsoft.com/office/drawing/2014/main" id="{00000000-0008-0000-0000-000014000000}"/>
            </a:ext>
          </a:extLst>
        </xdr:cNvPr>
        <xdr:cNvSpPr txBox="1"/>
      </xdr:nvSpPr>
      <xdr:spPr>
        <a:xfrm>
          <a:off x="1828800" y="7724775"/>
          <a:ext cx="2743200" cy="274320"/>
        </a:xfrm>
        <a:prstGeom prst="rect">
          <a:avLst/>
        </a:prstGeom>
        <a:gradFill>
          <a:gsLst>
            <a:gs pos="0">
              <a:schemeClr val="bg1">
                <a:lumMod val="75000"/>
              </a:schemeClr>
            </a:gs>
            <a:gs pos="50000">
              <a:schemeClr val="accent1">
                <a:tint val="44500"/>
                <a:satMod val="160000"/>
              </a:schemeClr>
            </a:gs>
            <a:gs pos="100000">
              <a:schemeClr val="accent1">
                <a:tint val="23500"/>
                <a:satMod val="160000"/>
              </a:schemeClr>
            </a:gs>
          </a:gsLst>
          <a:lin ang="5400000" scaled="0"/>
        </a:gradFill>
        <a:effectLst>
          <a:innerShdw blurRad="114300">
            <a:prstClr val="black"/>
          </a:innerShdw>
        </a:effectLst>
        <a:scene3d>
          <a:camera prst="orthographicFront"/>
          <a:lightRig rig="threePt" dir="t"/>
        </a:scene3d>
        <a:sp3d>
          <a:bevelT prst="angle"/>
        </a:sp3d>
      </xdr:spPr>
      <xdr:style>
        <a:lnRef idx="0">
          <a:scrgbClr r="0" g="0" b="0"/>
        </a:lnRef>
        <a:fillRef idx="0">
          <a:scrgbClr r="0" g="0" b="0"/>
        </a:fillRef>
        <a:effectRef idx="0">
          <a:scrgbClr r="0" g="0" b="0"/>
        </a:effectRef>
        <a:fontRef idx="minor">
          <a:schemeClr val="tx1"/>
        </a:fontRef>
      </xdr:style>
      <xdr:txBody>
        <a:bodyPr wrap="square" rtlCol="0" anchor="ctr" anchorCtr="0">
          <a:spAutoFit/>
        </a:bodyPr>
        <a:lstStyle/>
        <a:p>
          <a:pPr algn="ctr"/>
          <a:r>
            <a:rPr lang="en-US" sz="1400" b="1"/>
            <a:t>Loan</a:t>
          </a:r>
          <a:r>
            <a:rPr lang="en-US" sz="1400" b="1" baseline="0"/>
            <a:t> amortization worksheet</a:t>
          </a:r>
          <a:endParaRPr lang="en-US" sz="1400" b="1"/>
        </a:p>
      </xdr:txBody>
    </xdr:sp>
    <xdr:clientData/>
  </xdr:oneCellAnchor>
  <xdr:twoCellAnchor editAs="oneCell">
    <xdr:from>
      <xdr:col>4</xdr:col>
      <xdr:colOff>0</xdr:colOff>
      <xdr:row>37</xdr:row>
      <xdr:rowOff>0</xdr:rowOff>
    </xdr:from>
    <xdr:to>
      <xdr:col>4</xdr:col>
      <xdr:colOff>514422</xdr:colOff>
      <xdr:row>38</xdr:row>
      <xdr:rowOff>28607</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4667250" y="9753600"/>
          <a:ext cx="514422" cy="228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304801</xdr:colOff>
      <xdr:row>42</xdr:row>
      <xdr:rowOff>66675</xdr:rowOff>
    </xdr:from>
    <xdr:to>
      <xdr:col>9</xdr:col>
      <xdr:colOff>361950</xdr:colOff>
      <xdr:row>59</xdr:row>
      <xdr:rowOff>57150</xdr:rowOff>
    </xdr:to>
    <xdr:graphicFrame macro="">
      <xdr:nvGraphicFramePr>
        <xdr:cNvPr id="1039" name="Chart 4">
          <a:extLst>
            <a:ext uri="{FF2B5EF4-FFF2-40B4-BE49-F238E27FC236}">
              <a16:creationId xmlns:a16="http://schemas.microsoft.com/office/drawing/2014/main" id="{00000000-0008-0000-0100-00000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628650</xdr:colOff>
      <xdr:row>152</xdr:row>
      <xdr:rowOff>219075</xdr:rowOff>
    </xdr:from>
    <xdr:to>
      <xdr:col>4</xdr:col>
      <xdr:colOff>904875</xdr:colOff>
      <xdr:row>152</xdr:row>
      <xdr:rowOff>428625</xdr:rowOff>
    </xdr:to>
    <xdr:pic>
      <xdr:nvPicPr>
        <xdr:cNvPr id="6" name="Picture 5" descr="Merge icon.BMP">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3886200" y="36375975"/>
          <a:ext cx="276225" cy="209550"/>
        </a:xfrm>
        <a:prstGeom prst="rect">
          <a:avLst/>
        </a:prstGeom>
      </xdr:spPr>
    </xdr:pic>
    <xdr:clientData/>
  </xdr:twoCellAnchor>
  <xdr:twoCellAnchor>
    <xdr:from>
      <xdr:col>2</xdr:col>
      <xdr:colOff>142875</xdr:colOff>
      <xdr:row>85</xdr:row>
      <xdr:rowOff>19049</xdr:rowOff>
    </xdr:from>
    <xdr:to>
      <xdr:col>9</xdr:col>
      <xdr:colOff>161925</xdr:colOff>
      <xdr:row>103</xdr:row>
      <xdr:rowOff>57150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685800</xdr:colOff>
      <xdr:row>121</xdr:row>
      <xdr:rowOff>38100</xdr:rowOff>
    </xdr:from>
    <xdr:to>
      <xdr:col>7</xdr:col>
      <xdr:colOff>571500</xdr:colOff>
      <xdr:row>137</xdr:row>
      <xdr:rowOff>123825</xdr:rowOff>
    </xdr:to>
    <xdr:pic>
      <xdr:nvPicPr>
        <xdr:cNvPr id="8" name="Picture 7" descr="FV.BMP">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1000125" y="28394025"/>
          <a:ext cx="5772150" cy="3286125"/>
        </a:xfrm>
        <a:prstGeom prst="rect">
          <a:avLst/>
        </a:prstGeom>
      </xdr:spPr>
    </xdr:pic>
    <xdr:clientData/>
  </xdr:twoCellAnchor>
  <xdr:twoCellAnchor>
    <xdr:from>
      <xdr:col>2</xdr:col>
      <xdr:colOff>161925</xdr:colOff>
      <xdr:row>231</xdr:row>
      <xdr:rowOff>133350</xdr:rowOff>
    </xdr:from>
    <xdr:to>
      <xdr:col>9</xdr:col>
      <xdr:colOff>638175</xdr:colOff>
      <xdr:row>250</xdr:row>
      <xdr:rowOff>66675</xdr:rowOff>
    </xdr:to>
    <xdr:graphicFrame macro="">
      <xdr:nvGraphicFramePr>
        <xdr:cNvPr id="9" name="Chart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876300</xdr:colOff>
      <xdr:row>172</xdr:row>
      <xdr:rowOff>114300</xdr:rowOff>
    </xdr:from>
    <xdr:to>
      <xdr:col>7</xdr:col>
      <xdr:colOff>723900</xdr:colOff>
      <xdr:row>188</xdr:row>
      <xdr:rowOff>152400</xdr:rowOff>
    </xdr:to>
    <xdr:pic>
      <xdr:nvPicPr>
        <xdr:cNvPr id="13" name="Picture 12" descr="PV.BMP">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6"/>
        <a:stretch>
          <a:fillRect/>
        </a:stretch>
      </xdr:blipFill>
      <xdr:spPr>
        <a:xfrm>
          <a:off x="1190625" y="40471725"/>
          <a:ext cx="5734050" cy="3238500"/>
        </a:xfrm>
        <a:prstGeom prst="rect">
          <a:avLst/>
        </a:prstGeom>
      </xdr:spPr>
    </xdr:pic>
    <xdr:clientData/>
  </xdr:twoCellAnchor>
  <xdr:twoCellAnchor editAs="oneCell">
    <xdr:from>
      <xdr:col>2</xdr:col>
      <xdr:colOff>0</xdr:colOff>
      <xdr:row>203</xdr:row>
      <xdr:rowOff>0</xdr:rowOff>
    </xdr:from>
    <xdr:to>
      <xdr:col>4</xdr:col>
      <xdr:colOff>95250</xdr:colOff>
      <xdr:row>209</xdr:row>
      <xdr:rowOff>19050</xdr:rowOff>
    </xdr:to>
    <xdr:pic>
      <xdr:nvPicPr>
        <xdr:cNvPr id="14" name="Picture 13" descr="Data table.BMP">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7"/>
        <a:stretch>
          <a:fillRect/>
        </a:stretch>
      </xdr:blipFill>
      <xdr:spPr>
        <a:xfrm>
          <a:off x="1295400" y="47758350"/>
          <a:ext cx="2057400" cy="1219200"/>
        </a:xfrm>
        <a:prstGeom prst="rect">
          <a:avLst/>
        </a:prstGeom>
      </xdr:spPr>
    </xdr:pic>
    <xdr:clientData/>
  </xdr:twoCellAnchor>
  <xdr:twoCellAnchor editAs="oneCell">
    <xdr:from>
      <xdr:col>2</xdr:col>
      <xdr:colOff>333375</xdr:colOff>
      <xdr:row>303</xdr:row>
      <xdr:rowOff>57150</xdr:rowOff>
    </xdr:from>
    <xdr:to>
      <xdr:col>8</xdr:col>
      <xdr:colOff>190500</xdr:colOff>
      <xdr:row>319</xdr:row>
      <xdr:rowOff>123825</xdr:rowOff>
    </xdr:to>
    <xdr:pic>
      <xdr:nvPicPr>
        <xdr:cNvPr id="19" name="Picture 18" descr="NPER.BMP">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8"/>
        <a:stretch>
          <a:fillRect/>
        </a:stretch>
      </xdr:blipFill>
      <xdr:spPr>
        <a:xfrm>
          <a:off x="1628775" y="69018150"/>
          <a:ext cx="5743575" cy="3267075"/>
        </a:xfrm>
        <a:prstGeom prst="rect">
          <a:avLst/>
        </a:prstGeom>
      </xdr:spPr>
    </xdr:pic>
    <xdr:clientData/>
  </xdr:twoCellAnchor>
  <xdr:twoCellAnchor editAs="oneCell">
    <xdr:from>
      <xdr:col>2</xdr:col>
      <xdr:colOff>9525</xdr:colOff>
      <xdr:row>352</xdr:row>
      <xdr:rowOff>66675</xdr:rowOff>
    </xdr:from>
    <xdr:to>
      <xdr:col>6</xdr:col>
      <xdr:colOff>790575</xdr:colOff>
      <xdr:row>365</xdr:row>
      <xdr:rowOff>47625</xdr:rowOff>
    </xdr:to>
    <xdr:pic>
      <xdr:nvPicPr>
        <xdr:cNvPr id="20" name="Picture 19" descr="FVSCHEDULE.BMP">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9"/>
        <a:stretch>
          <a:fillRect/>
        </a:stretch>
      </xdr:blipFill>
      <xdr:spPr>
        <a:xfrm>
          <a:off x="1304925" y="80029050"/>
          <a:ext cx="4705350" cy="2581275"/>
        </a:xfrm>
        <a:prstGeom prst="rect">
          <a:avLst/>
        </a:prstGeom>
      </xdr:spPr>
    </xdr:pic>
    <xdr:clientData/>
  </xdr:twoCellAnchor>
  <xdr:twoCellAnchor editAs="oneCell">
    <xdr:from>
      <xdr:col>2</xdr:col>
      <xdr:colOff>19050</xdr:colOff>
      <xdr:row>387</xdr:row>
      <xdr:rowOff>133350</xdr:rowOff>
    </xdr:from>
    <xdr:to>
      <xdr:col>7</xdr:col>
      <xdr:colOff>838200</xdr:colOff>
      <xdr:row>404</xdr:row>
      <xdr:rowOff>133350</xdr:rowOff>
    </xdr:to>
    <xdr:pic>
      <xdr:nvPicPr>
        <xdr:cNvPr id="22" name="Picture 21" descr="NPV.BMP">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0"/>
        <a:stretch>
          <a:fillRect/>
        </a:stretch>
      </xdr:blipFill>
      <xdr:spPr>
        <a:xfrm>
          <a:off x="1314450" y="87296625"/>
          <a:ext cx="5724525" cy="3400425"/>
        </a:xfrm>
        <a:prstGeom prst="rect">
          <a:avLst/>
        </a:prstGeom>
      </xdr:spPr>
    </xdr:pic>
    <xdr:clientData/>
  </xdr:twoCellAnchor>
  <xdr:twoCellAnchor editAs="oneCell">
    <xdr:from>
      <xdr:col>2</xdr:col>
      <xdr:colOff>19050</xdr:colOff>
      <xdr:row>267</xdr:row>
      <xdr:rowOff>142875</xdr:rowOff>
    </xdr:from>
    <xdr:to>
      <xdr:col>7</xdr:col>
      <xdr:colOff>696104</xdr:colOff>
      <xdr:row>284</xdr:row>
      <xdr:rowOff>162402</xdr:rowOff>
    </xdr:to>
    <xdr:pic>
      <xdr:nvPicPr>
        <xdr:cNvPr id="2" name="Picture 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314450" y="61702950"/>
          <a:ext cx="5582429" cy="34199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295275</xdr:colOff>
      <xdr:row>76</xdr:row>
      <xdr:rowOff>57150</xdr:rowOff>
    </xdr:from>
    <xdr:to>
      <xdr:col>7</xdr:col>
      <xdr:colOff>705592</xdr:colOff>
      <xdr:row>88</xdr:row>
      <xdr:rowOff>38432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15611475"/>
          <a:ext cx="5315692" cy="2381582"/>
        </a:xfrm>
        <a:prstGeom prst="rect">
          <a:avLst/>
        </a:prstGeom>
      </xdr:spPr>
    </xdr:pic>
    <xdr:clientData/>
  </xdr:twoCellAnchor>
  <xdr:twoCellAnchor editAs="oneCell">
    <xdr:from>
      <xdr:col>2</xdr:col>
      <xdr:colOff>47625</xdr:colOff>
      <xdr:row>45</xdr:row>
      <xdr:rowOff>57150</xdr:rowOff>
    </xdr:from>
    <xdr:to>
      <xdr:col>7</xdr:col>
      <xdr:colOff>67362</xdr:colOff>
      <xdr:row>58</xdr:row>
      <xdr:rowOff>181355</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6325" y="9410700"/>
          <a:ext cx="4925112" cy="2724530"/>
        </a:xfrm>
        <a:prstGeom prst="rect">
          <a:avLst/>
        </a:prstGeom>
      </xdr:spPr>
    </xdr:pic>
    <xdr:clientData/>
  </xdr:twoCellAnchor>
  <xdr:twoCellAnchor editAs="oneCell">
    <xdr:from>
      <xdr:col>2</xdr:col>
      <xdr:colOff>9525</xdr:colOff>
      <xdr:row>17</xdr:row>
      <xdr:rowOff>104775</xdr:rowOff>
    </xdr:from>
    <xdr:to>
      <xdr:col>7</xdr:col>
      <xdr:colOff>172157</xdr:colOff>
      <xdr:row>31</xdr:row>
      <xdr:rowOff>19429</xdr:rowOff>
    </xdr:to>
    <xdr:pic>
      <xdr:nvPicPr>
        <xdr:cNvPr id="7" name="Picture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8225" y="3857625"/>
          <a:ext cx="5068007" cy="27150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952500</xdr:colOff>
      <xdr:row>21</xdr:row>
      <xdr:rowOff>95250</xdr:rowOff>
    </xdr:from>
    <xdr:to>
      <xdr:col>7</xdr:col>
      <xdr:colOff>800100</xdr:colOff>
      <xdr:row>37</xdr:row>
      <xdr:rowOff>161925</xdr:rowOff>
    </xdr:to>
    <xdr:pic>
      <xdr:nvPicPr>
        <xdr:cNvPr id="9" name="Picture 8" descr="PV2.BMP">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1266825" y="4848225"/>
          <a:ext cx="5800725" cy="3267075"/>
        </a:xfrm>
        <a:prstGeom prst="rect">
          <a:avLst/>
        </a:prstGeom>
      </xdr:spPr>
    </xdr:pic>
    <xdr:clientData/>
  </xdr:twoCellAnchor>
  <xdr:twoCellAnchor editAs="oneCell">
    <xdr:from>
      <xdr:col>2</xdr:col>
      <xdr:colOff>9525</xdr:colOff>
      <xdr:row>56</xdr:row>
      <xdr:rowOff>19050</xdr:rowOff>
    </xdr:from>
    <xdr:to>
      <xdr:col>7</xdr:col>
      <xdr:colOff>790575</xdr:colOff>
      <xdr:row>72</xdr:row>
      <xdr:rowOff>66675</xdr:rowOff>
    </xdr:to>
    <xdr:pic>
      <xdr:nvPicPr>
        <xdr:cNvPr id="10" name="Picture 9" descr="FV2.BMP">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stretch>
          <a:fillRect/>
        </a:stretch>
      </xdr:blipFill>
      <xdr:spPr>
        <a:xfrm>
          <a:off x="1304925" y="12553950"/>
          <a:ext cx="5753100" cy="3248025"/>
        </a:xfrm>
        <a:prstGeom prst="rect">
          <a:avLst/>
        </a:prstGeom>
      </xdr:spPr>
    </xdr:pic>
    <xdr:clientData/>
  </xdr:twoCellAnchor>
  <xdr:twoCellAnchor editAs="oneCell">
    <xdr:from>
      <xdr:col>1</xdr:col>
      <xdr:colOff>952500</xdr:colOff>
      <xdr:row>89</xdr:row>
      <xdr:rowOff>57150</xdr:rowOff>
    </xdr:from>
    <xdr:to>
      <xdr:col>7</xdr:col>
      <xdr:colOff>409575</xdr:colOff>
      <xdr:row>105</xdr:row>
      <xdr:rowOff>123825</xdr:rowOff>
    </xdr:to>
    <xdr:pic>
      <xdr:nvPicPr>
        <xdr:cNvPr id="11" name="Picture 10" descr="PMT.BMP">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stretch>
          <a:fillRect/>
        </a:stretch>
      </xdr:blipFill>
      <xdr:spPr>
        <a:xfrm>
          <a:off x="1266825" y="20012025"/>
          <a:ext cx="5410200" cy="3267075"/>
        </a:xfrm>
        <a:prstGeom prst="rect">
          <a:avLst/>
        </a:prstGeom>
      </xdr:spPr>
    </xdr:pic>
    <xdr:clientData/>
  </xdr:twoCellAnchor>
  <xdr:twoCellAnchor editAs="oneCell">
    <xdr:from>
      <xdr:col>1</xdr:col>
      <xdr:colOff>971550</xdr:colOff>
      <xdr:row>120</xdr:row>
      <xdr:rowOff>95250</xdr:rowOff>
    </xdr:from>
    <xdr:to>
      <xdr:col>7</xdr:col>
      <xdr:colOff>238125</xdr:colOff>
      <xdr:row>137</xdr:row>
      <xdr:rowOff>76200</xdr:rowOff>
    </xdr:to>
    <xdr:pic>
      <xdr:nvPicPr>
        <xdr:cNvPr id="12" name="Picture 11" descr="RATE2.BMP">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a:stretch>
          <a:fillRect/>
        </a:stretch>
      </xdr:blipFill>
      <xdr:spPr>
        <a:xfrm>
          <a:off x="1285875" y="27031950"/>
          <a:ext cx="5219700" cy="3381375"/>
        </a:xfrm>
        <a:prstGeom prst="rect">
          <a:avLst/>
        </a:prstGeom>
      </xdr:spPr>
    </xdr:pic>
    <xdr:clientData/>
  </xdr:twoCellAnchor>
  <xdr:twoCellAnchor editAs="oneCell">
    <xdr:from>
      <xdr:col>1</xdr:col>
      <xdr:colOff>876300</xdr:colOff>
      <xdr:row>155</xdr:row>
      <xdr:rowOff>114300</xdr:rowOff>
    </xdr:from>
    <xdr:to>
      <xdr:col>7</xdr:col>
      <xdr:colOff>657225</xdr:colOff>
      <xdr:row>171</xdr:row>
      <xdr:rowOff>180975</xdr:rowOff>
    </xdr:to>
    <xdr:pic>
      <xdr:nvPicPr>
        <xdr:cNvPr id="13" name="Picture 12" descr="NPER2.BMP">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5"/>
        <a:stretch>
          <a:fillRect/>
        </a:stretch>
      </xdr:blipFill>
      <xdr:spPr>
        <a:xfrm>
          <a:off x="1190625" y="34470975"/>
          <a:ext cx="5734050" cy="3267075"/>
        </a:xfrm>
        <a:prstGeom prst="rect">
          <a:avLst/>
        </a:prstGeom>
      </xdr:spPr>
    </xdr:pic>
    <xdr:clientData/>
  </xdr:twoCellAnchor>
  <xdr:twoCellAnchor editAs="oneCell">
    <xdr:from>
      <xdr:col>1</xdr:col>
      <xdr:colOff>933450</xdr:colOff>
      <xdr:row>235</xdr:row>
      <xdr:rowOff>123825</xdr:rowOff>
    </xdr:from>
    <xdr:to>
      <xdr:col>7</xdr:col>
      <xdr:colOff>742950</xdr:colOff>
      <xdr:row>251</xdr:row>
      <xdr:rowOff>161925</xdr:rowOff>
    </xdr:to>
    <xdr:pic>
      <xdr:nvPicPr>
        <xdr:cNvPr id="14" name="Picture 13" descr="PV annuity due.BMP">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6"/>
        <a:stretch>
          <a:fillRect/>
        </a:stretch>
      </xdr:blipFill>
      <xdr:spPr>
        <a:xfrm>
          <a:off x="1247775" y="51749325"/>
          <a:ext cx="5762625" cy="3238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904875</xdr:colOff>
      <xdr:row>36</xdr:row>
      <xdr:rowOff>847725</xdr:rowOff>
    </xdr:from>
    <xdr:to>
      <xdr:col>5</xdr:col>
      <xdr:colOff>190500</xdr:colOff>
      <xdr:row>37</xdr:row>
      <xdr:rowOff>38100</xdr:rowOff>
    </xdr:to>
    <xdr:pic>
      <xdr:nvPicPr>
        <xdr:cNvPr id="2" name="Picture 1" descr="SUM.BMP">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162425" y="8601075"/>
          <a:ext cx="266700" cy="219075"/>
        </a:xfrm>
        <a:prstGeom prst="rect">
          <a:avLst/>
        </a:prstGeom>
      </xdr:spPr>
    </xdr:pic>
    <xdr:clientData/>
  </xdr:twoCellAnchor>
  <xdr:twoCellAnchor editAs="oneCell">
    <xdr:from>
      <xdr:col>4</xdr:col>
      <xdr:colOff>542925</xdr:colOff>
      <xdr:row>71</xdr:row>
      <xdr:rowOff>1019175</xdr:rowOff>
    </xdr:from>
    <xdr:to>
      <xdr:col>4</xdr:col>
      <xdr:colOff>809625</xdr:colOff>
      <xdr:row>72</xdr:row>
      <xdr:rowOff>38100</xdr:rowOff>
    </xdr:to>
    <xdr:pic>
      <xdr:nvPicPr>
        <xdr:cNvPr id="3" name="Picture 2" descr="SUM.BMP">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800475" y="17002125"/>
          <a:ext cx="266700" cy="219075"/>
        </a:xfrm>
        <a:prstGeom prst="rect">
          <a:avLst/>
        </a:prstGeom>
      </xdr:spPr>
    </xdr:pic>
    <xdr:clientData/>
  </xdr:twoCellAnchor>
  <xdr:twoCellAnchor editAs="oneCell">
    <xdr:from>
      <xdr:col>1</xdr:col>
      <xdr:colOff>971550</xdr:colOff>
      <xdr:row>77</xdr:row>
      <xdr:rowOff>95250</xdr:rowOff>
    </xdr:from>
    <xdr:to>
      <xdr:col>7</xdr:col>
      <xdr:colOff>790575</xdr:colOff>
      <xdr:row>95</xdr:row>
      <xdr:rowOff>104775</xdr:rowOff>
    </xdr:to>
    <xdr:pic>
      <xdr:nvPicPr>
        <xdr:cNvPr id="4" name="Picture 3" descr="Loan amortization.BMP">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285875" y="18878550"/>
          <a:ext cx="5705475" cy="3609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5"/>
  <sheetViews>
    <sheetView tabSelected="1" workbookViewId="0">
      <selection activeCell="A2" sqref="A2"/>
    </sheetView>
  </sheetViews>
  <sheetFormatPr defaultColWidth="9.140625" defaultRowHeight="12.75" x14ac:dyDescent="0.2"/>
  <cols>
    <col min="1" max="3" width="9.140625" style="52"/>
    <col min="4" max="4" width="42.5703125" style="52" customWidth="1"/>
    <col min="5" max="16384" width="9.140625" style="52"/>
  </cols>
  <sheetData>
    <row r="1" spans="1:29" x14ac:dyDescent="0.2">
      <c r="A1" s="17"/>
      <c r="B1" s="17"/>
      <c r="C1" s="17"/>
      <c r="D1" s="17"/>
      <c r="E1" s="17"/>
      <c r="F1" s="17"/>
      <c r="G1" s="17"/>
      <c r="H1" s="17"/>
      <c r="I1" s="17"/>
      <c r="J1" s="17"/>
      <c r="K1" s="17"/>
      <c r="L1" s="17"/>
      <c r="M1" s="51"/>
      <c r="N1" s="51"/>
      <c r="O1" s="51"/>
      <c r="P1" s="51"/>
      <c r="Q1" s="51"/>
      <c r="R1" s="51"/>
      <c r="S1" s="51"/>
      <c r="T1" s="51"/>
      <c r="U1" s="51"/>
      <c r="V1" s="51"/>
      <c r="W1" s="51"/>
      <c r="X1" s="51"/>
      <c r="Y1" s="51"/>
      <c r="Z1" s="51"/>
      <c r="AA1" s="51"/>
      <c r="AB1" s="51"/>
      <c r="AC1" s="51"/>
    </row>
    <row r="2" spans="1:29" x14ac:dyDescent="0.2">
      <c r="A2" s="17"/>
      <c r="B2" s="17"/>
      <c r="C2" s="17"/>
      <c r="D2" s="17"/>
      <c r="E2" s="17"/>
      <c r="F2" s="17"/>
      <c r="G2" s="17"/>
      <c r="H2" s="17"/>
      <c r="I2" s="17"/>
      <c r="J2" s="17"/>
      <c r="K2" s="17"/>
      <c r="L2" s="17"/>
      <c r="M2" s="51"/>
      <c r="N2" s="51"/>
      <c r="O2" s="51"/>
      <c r="P2" s="51"/>
      <c r="Q2" s="51"/>
      <c r="R2" s="51"/>
      <c r="S2" s="51"/>
      <c r="T2" s="51"/>
      <c r="U2" s="51"/>
      <c r="V2" s="51"/>
      <c r="W2" s="51"/>
      <c r="X2" s="51"/>
      <c r="Y2" s="51"/>
      <c r="Z2" s="51"/>
      <c r="AA2" s="51"/>
      <c r="AB2" s="51"/>
      <c r="AC2" s="51"/>
    </row>
    <row r="3" spans="1:29" ht="15.75" x14ac:dyDescent="0.25">
      <c r="A3" s="17"/>
      <c r="B3" s="17"/>
      <c r="C3" s="17"/>
      <c r="D3" s="18" t="s">
        <v>184</v>
      </c>
      <c r="E3" s="19"/>
      <c r="F3" s="19"/>
      <c r="G3" s="17"/>
      <c r="H3" s="17"/>
      <c r="I3" s="17"/>
      <c r="J3" s="17"/>
      <c r="K3" s="17"/>
      <c r="L3" s="17"/>
      <c r="M3" s="51"/>
      <c r="N3" s="51"/>
      <c r="O3" s="51"/>
      <c r="P3" s="51"/>
      <c r="Q3" s="51"/>
      <c r="R3" s="51"/>
      <c r="S3" s="51"/>
      <c r="T3" s="51"/>
      <c r="U3" s="51"/>
      <c r="V3" s="51"/>
      <c r="W3" s="51"/>
      <c r="X3" s="51"/>
      <c r="Y3" s="51"/>
      <c r="Z3" s="51"/>
      <c r="AA3" s="51"/>
      <c r="AB3" s="51"/>
      <c r="AC3" s="51"/>
    </row>
    <row r="4" spans="1:29" ht="15.75" x14ac:dyDescent="0.25">
      <c r="A4" s="17"/>
      <c r="B4" s="17"/>
      <c r="C4" s="17"/>
      <c r="D4" s="20" t="s">
        <v>206</v>
      </c>
      <c r="E4" s="19"/>
      <c r="F4" s="19"/>
      <c r="G4" s="17"/>
      <c r="H4" s="17"/>
      <c r="I4" s="17"/>
      <c r="J4" s="17"/>
      <c r="K4" s="17"/>
      <c r="L4" s="17"/>
      <c r="M4" s="51"/>
      <c r="N4" s="51"/>
      <c r="O4" s="51"/>
      <c r="P4" s="51"/>
      <c r="Q4" s="51"/>
      <c r="R4" s="51"/>
      <c r="S4" s="51"/>
      <c r="T4" s="51"/>
      <c r="U4" s="51"/>
      <c r="V4" s="51"/>
      <c r="W4" s="51"/>
      <c r="X4" s="51"/>
      <c r="Y4" s="51"/>
      <c r="Z4" s="51"/>
      <c r="AA4" s="51"/>
      <c r="AB4" s="51"/>
      <c r="AC4" s="51"/>
    </row>
    <row r="5" spans="1:29" ht="15.75" x14ac:dyDescent="0.25">
      <c r="A5" s="17"/>
      <c r="B5" s="17"/>
      <c r="C5" s="17"/>
      <c r="D5" s="18" t="s">
        <v>48</v>
      </c>
      <c r="E5" s="19"/>
      <c r="F5" s="19"/>
      <c r="G5" s="17"/>
      <c r="H5" s="17"/>
      <c r="I5" s="17"/>
      <c r="J5" s="17"/>
      <c r="K5" s="17"/>
      <c r="L5" s="17"/>
      <c r="M5" s="51"/>
      <c r="N5" s="51"/>
      <c r="O5" s="51"/>
      <c r="P5" s="51"/>
      <c r="Q5" s="51"/>
      <c r="R5" s="51"/>
      <c r="S5" s="51"/>
      <c r="T5" s="51"/>
      <c r="U5" s="51"/>
      <c r="V5" s="51"/>
      <c r="W5" s="51"/>
      <c r="X5" s="51"/>
      <c r="Y5" s="51"/>
      <c r="Z5" s="51"/>
      <c r="AA5" s="51"/>
      <c r="AB5" s="51"/>
      <c r="AC5" s="51"/>
    </row>
    <row r="6" spans="1:29" ht="15.75" x14ac:dyDescent="0.25">
      <c r="A6" s="17"/>
      <c r="B6" s="17"/>
      <c r="C6" s="17"/>
      <c r="D6" s="18" t="s">
        <v>207</v>
      </c>
      <c r="E6" s="19"/>
      <c r="F6" s="19"/>
      <c r="G6" s="17"/>
      <c r="H6" s="17"/>
      <c r="I6" s="17"/>
      <c r="J6" s="17"/>
      <c r="K6" s="17"/>
      <c r="L6" s="17"/>
      <c r="M6" s="51"/>
      <c r="N6" s="51"/>
      <c r="O6" s="51"/>
      <c r="P6" s="51"/>
      <c r="Q6" s="51"/>
      <c r="R6" s="51"/>
      <c r="S6" s="51"/>
      <c r="T6" s="51"/>
      <c r="U6" s="51"/>
      <c r="V6" s="51"/>
      <c r="W6" s="51"/>
      <c r="X6" s="51"/>
      <c r="Y6" s="51"/>
      <c r="Z6" s="51"/>
      <c r="AA6" s="51"/>
      <c r="AB6" s="51"/>
      <c r="AC6" s="51"/>
    </row>
    <row r="7" spans="1:29" x14ac:dyDescent="0.2">
      <c r="A7" s="17"/>
      <c r="B7" s="17"/>
      <c r="C7" s="17"/>
      <c r="D7" s="17"/>
      <c r="E7" s="17"/>
      <c r="F7" s="17"/>
      <c r="G7" s="17"/>
      <c r="H7" s="17"/>
      <c r="I7" s="17"/>
      <c r="J7" s="17"/>
      <c r="K7" s="17"/>
      <c r="L7" s="17"/>
      <c r="M7" s="51"/>
      <c r="N7" s="51"/>
      <c r="O7" s="51"/>
      <c r="P7" s="51"/>
      <c r="Q7" s="51"/>
      <c r="R7" s="51"/>
      <c r="S7" s="51"/>
      <c r="T7" s="51"/>
      <c r="U7" s="51"/>
      <c r="V7" s="51"/>
      <c r="W7" s="51"/>
      <c r="X7" s="51"/>
      <c r="Y7" s="51"/>
      <c r="Z7" s="51"/>
      <c r="AA7" s="51"/>
      <c r="AB7" s="51"/>
      <c r="AC7" s="51"/>
    </row>
    <row r="8" spans="1:29" ht="61.5" x14ac:dyDescent="0.9">
      <c r="A8" s="17"/>
      <c r="B8" s="17"/>
      <c r="C8" s="17"/>
      <c r="D8" s="21" t="s">
        <v>104</v>
      </c>
      <c r="E8" s="17"/>
      <c r="F8" s="22"/>
      <c r="G8" s="17"/>
      <c r="H8" s="17"/>
      <c r="I8" s="17"/>
      <c r="J8" s="17"/>
      <c r="K8" s="17"/>
      <c r="L8" s="17"/>
      <c r="M8" s="51"/>
      <c r="N8" s="51"/>
      <c r="O8" s="51"/>
      <c r="P8" s="51"/>
      <c r="Q8" s="51"/>
      <c r="R8" s="51"/>
      <c r="S8" s="51"/>
      <c r="T8" s="51"/>
      <c r="U8" s="51"/>
      <c r="V8" s="51"/>
      <c r="W8" s="51"/>
      <c r="X8" s="51"/>
      <c r="Y8" s="51"/>
      <c r="Z8" s="51"/>
      <c r="AA8" s="51"/>
      <c r="AB8" s="51"/>
      <c r="AC8" s="51"/>
    </row>
    <row r="9" spans="1:29" x14ac:dyDescent="0.2">
      <c r="A9" s="17"/>
      <c r="B9" s="17"/>
      <c r="C9" s="17"/>
      <c r="D9" s="17"/>
      <c r="E9" s="17"/>
      <c r="F9" s="17"/>
      <c r="G9" s="17"/>
      <c r="H9" s="17"/>
      <c r="I9" s="17"/>
      <c r="J9" s="17"/>
      <c r="K9" s="17"/>
      <c r="L9" s="17"/>
      <c r="M9" s="51"/>
      <c r="N9" s="51"/>
      <c r="O9" s="51"/>
      <c r="P9" s="51"/>
      <c r="Q9" s="51"/>
      <c r="R9" s="51"/>
      <c r="S9" s="51"/>
      <c r="T9" s="51"/>
      <c r="U9" s="51"/>
      <c r="V9" s="51"/>
      <c r="W9" s="51"/>
      <c r="X9" s="51"/>
      <c r="Y9" s="51"/>
      <c r="Z9" s="51"/>
      <c r="AA9" s="51"/>
      <c r="AB9" s="51"/>
      <c r="AC9" s="51"/>
    </row>
    <row r="10" spans="1:29" ht="18.75" x14ac:dyDescent="0.3">
      <c r="A10" s="17"/>
      <c r="B10" s="17"/>
      <c r="C10" s="17"/>
      <c r="D10" s="1" t="s">
        <v>13</v>
      </c>
      <c r="E10" s="1"/>
      <c r="F10" s="1"/>
      <c r="G10" s="1"/>
      <c r="H10" s="17"/>
      <c r="I10" s="17"/>
      <c r="J10" s="17"/>
      <c r="K10" s="17"/>
      <c r="L10" s="17"/>
      <c r="M10" s="51"/>
      <c r="N10" s="51"/>
      <c r="O10" s="51"/>
      <c r="P10" s="51"/>
      <c r="Q10" s="51"/>
      <c r="R10" s="51"/>
      <c r="S10" s="51"/>
      <c r="T10" s="51"/>
      <c r="U10" s="51"/>
      <c r="V10" s="51"/>
      <c r="W10" s="51"/>
      <c r="X10" s="51"/>
      <c r="Y10" s="51"/>
      <c r="Z10" s="51"/>
      <c r="AA10" s="51"/>
      <c r="AB10" s="51"/>
      <c r="AC10" s="51"/>
    </row>
    <row r="11" spans="1:29" ht="18.75" x14ac:dyDescent="0.3">
      <c r="A11" s="17"/>
      <c r="B11" s="17"/>
      <c r="C11" s="17"/>
      <c r="D11" s="1"/>
      <c r="E11" s="1"/>
      <c r="F11" s="1"/>
      <c r="G11" s="1"/>
      <c r="H11" s="17"/>
      <c r="I11" s="17"/>
      <c r="J11" s="17"/>
      <c r="K11" s="17"/>
      <c r="L11" s="17"/>
      <c r="M11" s="51"/>
      <c r="N11" s="51"/>
      <c r="O11" s="51"/>
      <c r="P11" s="51"/>
      <c r="Q11" s="51"/>
      <c r="R11" s="51"/>
      <c r="S11" s="51"/>
      <c r="T11" s="51"/>
      <c r="U11" s="51"/>
      <c r="V11" s="51"/>
      <c r="W11" s="51"/>
      <c r="X11" s="51"/>
      <c r="Y11" s="51"/>
      <c r="Z11" s="51"/>
      <c r="AA11" s="51"/>
      <c r="AB11" s="51"/>
      <c r="AC11" s="51"/>
    </row>
    <row r="12" spans="1:29" ht="23.45" customHeight="1" x14ac:dyDescent="0.3">
      <c r="A12" s="17"/>
      <c r="B12" s="17"/>
      <c r="C12" s="17"/>
      <c r="F12" s="1"/>
      <c r="G12" s="17"/>
      <c r="H12" s="17"/>
      <c r="I12" s="17"/>
      <c r="J12" s="17"/>
      <c r="K12" s="17"/>
      <c r="L12" s="51"/>
      <c r="M12" s="51"/>
      <c r="N12" s="51"/>
      <c r="O12" s="51"/>
      <c r="P12" s="51"/>
      <c r="Q12" s="51"/>
      <c r="R12" s="51"/>
      <c r="S12" s="51"/>
      <c r="T12" s="51"/>
      <c r="U12" s="51"/>
      <c r="V12" s="51"/>
      <c r="W12" s="51"/>
      <c r="X12" s="51"/>
      <c r="Y12" s="51"/>
      <c r="Z12" s="51"/>
      <c r="AA12" s="51"/>
      <c r="AB12" s="51"/>
    </row>
    <row r="13" spans="1:29" ht="23.45" customHeight="1" x14ac:dyDescent="0.3">
      <c r="A13" s="17"/>
      <c r="B13" s="17"/>
      <c r="C13" s="17"/>
      <c r="F13" s="1"/>
      <c r="G13" s="17"/>
      <c r="H13" s="17"/>
      <c r="I13" s="17"/>
      <c r="J13" s="17"/>
      <c r="K13" s="17"/>
      <c r="L13" s="51"/>
      <c r="M13" s="51"/>
      <c r="N13" s="51"/>
      <c r="O13" s="51"/>
      <c r="P13" s="51"/>
      <c r="Q13" s="51"/>
      <c r="R13" s="51"/>
      <c r="S13" s="51"/>
      <c r="T13" s="51"/>
      <c r="U13" s="51"/>
      <c r="V13" s="51"/>
      <c r="W13" s="51"/>
      <c r="X13" s="51"/>
      <c r="Y13" s="51"/>
      <c r="Z13" s="51"/>
      <c r="AA13" s="51"/>
      <c r="AB13" s="51"/>
    </row>
    <row r="14" spans="1:29" ht="23.45" customHeight="1" x14ac:dyDescent="0.3">
      <c r="A14" s="17"/>
      <c r="B14" s="17"/>
      <c r="C14" s="17"/>
      <c r="F14" s="1"/>
      <c r="G14" s="17"/>
      <c r="H14" s="17"/>
      <c r="I14" s="17"/>
      <c r="J14" s="17"/>
      <c r="K14" s="17"/>
      <c r="L14" s="51"/>
      <c r="M14" s="51"/>
      <c r="N14" s="51"/>
      <c r="O14" s="51"/>
      <c r="P14" s="51"/>
      <c r="Q14" s="51"/>
      <c r="R14" s="51"/>
      <c r="S14" s="51"/>
      <c r="T14" s="51"/>
      <c r="U14" s="51"/>
      <c r="V14" s="51"/>
      <c r="W14" s="51"/>
      <c r="X14" s="51"/>
      <c r="Y14" s="51"/>
      <c r="Z14" s="51"/>
      <c r="AA14" s="51"/>
      <c r="AB14" s="51"/>
    </row>
    <row r="15" spans="1:29" ht="23.45" customHeight="1" x14ac:dyDescent="0.3">
      <c r="A15" s="17"/>
      <c r="B15" s="17"/>
      <c r="C15" s="17"/>
      <c r="F15" s="1"/>
      <c r="G15" s="17"/>
      <c r="H15" s="17"/>
      <c r="I15" s="17"/>
      <c r="J15" s="17"/>
      <c r="K15" s="17"/>
      <c r="L15" s="51"/>
      <c r="M15" s="51"/>
      <c r="N15" s="51"/>
      <c r="O15" s="51"/>
      <c r="P15" s="51"/>
      <c r="Q15" s="51"/>
      <c r="R15" s="51"/>
      <c r="S15" s="51"/>
      <c r="T15" s="51"/>
      <c r="U15" s="51"/>
      <c r="V15" s="51"/>
      <c r="W15" s="51"/>
      <c r="X15" s="51"/>
      <c r="Y15" s="51"/>
      <c r="Z15" s="51"/>
      <c r="AA15" s="51"/>
      <c r="AB15" s="51"/>
    </row>
    <row r="16" spans="1:29" ht="23.45" customHeight="1" x14ac:dyDescent="0.3">
      <c r="A16" s="17"/>
      <c r="B16" s="17"/>
      <c r="C16" s="17"/>
      <c r="F16" s="1"/>
      <c r="G16" s="17"/>
      <c r="H16" s="17"/>
      <c r="I16" s="17"/>
      <c r="J16" s="17"/>
      <c r="K16" s="17"/>
      <c r="L16" s="51"/>
      <c r="M16" s="51"/>
      <c r="N16" s="51"/>
      <c r="O16" s="51"/>
      <c r="P16" s="51"/>
      <c r="Q16" s="51"/>
      <c r="R16" s="51"/>
      <c r="S16" s="51"/>
      <c r="T16" s="51"/>
      <c r="U16" s="51"/>
      <c r="V16" s="51"/>
      <c r="W16" s="51"/>
      <c r="X16" s="51"/>
      <c r="Y16" s="51"/>
      <c r="Z16" s="51"/>
      <c r="AA16" s="51"/>
      <c r="AB16" s="51"/>
    </row>
    <row r="17" spans="1:29" ht="23.45" customHeight="1" x14ac:dyDescent="0.3">
      <c r="A17" s="17"/>
      <c r="B17" s="17"/>
      <c r="C17" s="17"/>
      <c r="F17" s="1"/>
      <c r="G17" s="17"/>
      <c r="H17" s="17"/>
      <c r="I17" s="17"/>
      <c r="J17" s="17"/>
      <c r="K17" s="17"/>
      <c r="L17" s="51"/>
      <c r="M17" s="51"/>
      <c r="N17" s="51"/>
      <c r="O17" s="51"/>
      <c r="P17" s="51"/>
      <c r="Q17" s="51"/>
      <c r="R17" s="51"/>
      <c r="S17" s="51"/>
      <c r="T17" s="51"/>
      <c r="U17" s="51"/>
      <c r="V17" s="51"/>
      <c r="W17" s="51"/>
      <c r="X17" s="51"/>
      <c r="Y17" s="51"/>
      <c r="Z17" s="51"/>
      <c r="AA17" s="51"/>
      <c r="AB17" s="51"/>
    </row>
    <row r="18" spans="1:29" ht="23.45" customHeight="1" x14ac:dyDescent="0.3">
      <c r="A18" s="17"/>
      <c r="B18" s="17"/>
      <c r="C18" s="17"/>
      <c r="D18" s="1"/>
      <c r="E18" s="17"/>
      <c r="F18" s="17"/>
      <c r="G18" s="17"/>
      <c r="H18" s="17"/>
      <c r="I18" s="17"/>
      <c r="J18" s="17"/>
      <c r="K18" s="17"/>
      <c r="L18" s="17"/>
      <c r="M18" s="51"/>
      <c r="N18" s="51"/>
      <c r="O18" s="51"/>
      <c r="P18" s="51"/>
      <c r="Q18" s="51"/>
      <c r="R18" s="51"/>
      <c r="S18" s="51"/>
      <c r="T18" s="51"/>
      <c r="U18" s="51"/>
      <c r="V18" s="51"/>
      <c r="W18" s="51"/>
      <c r="X18" s="51"/>
      <c r="Y18" s="51"/>
      <c r="Z18" s="51"/>
      <c r="AA18" s="51"/>
      <c r="AB18" s="51"/>
      <c r="AC18" s="51"/>
    </row>
    <row r="19" spans="1:29" ht="23.45" customHeight="1" x14ac:dyDescent="0.3">
      <c r="A19" s="17"/>
      <c r="B19" s="17"/>
      <c r="C19" s="17"/>
      <c r="D19" s="1"/>
      <c r="E19" s="17"/>
      <c r="F19" s="17"/>
      <c r="G19" s="17"/>
      <c r="H19" s="17"/>
      <c r="I19" s="17"/>
      <c r="J19" s="17"/>
      <c r="K19" s="17"/>
      <c r="L19" s="17"/>
      <c r="M19" s="51"/>
      <c r="N19" s="51"/>
      <c r="O19" s="51"/>
      <c r="P19" s="51"/>
      <c r="Q19" s="51"/>
      <c r="R19" s="51"/>
      <c r="S19" s="51"/>
      <c r="T19" s="51"/>
      <c r="U19" s="51"/>
      <c r="V19" s="51"/>
      <c r="W19" s="51"/>
      <c r="X19" s="51"/>
      <c r="Y19" s="51"/>
      <c r="Z19" s="51"/>
      <c r="AA19" s="51"/>
      <c r="AB19" s="51"/>
      <c r="AC19" s="51"/>
    </row>
    <row r="20" spans="1:29" ht="23.45" customHeight="1" x14ac:dyDescent="0.3">
      <c r="A20" s="17"/>
      <c r="B20" s="17"/>
      <c r="C20" s="17"/>
      <c r="D20" s="1"/>
      <c r="E20" s="17"/>
      <c r="F20" s="17"/>
      <c r="G20" s="17"/>
      <c r="H20" s="17"/>
      <c r="I20" s="17"/>
      <c r="J20" s="17"/>
      <c r="K20" s="17"/>
      <c r="L20" s="17"/>
      <c r="M20" s="51"/>
      <c r="N20" s="51"/>
      <c r="O20" s="51"/>
      <c r="P20" s="51"/>
      <c r="Q20" s="51"/>
      <c r="R20" s="51"/>
      <c r="S20" s="51"/>
      <c r="T20" s="51"/>
      <c r="U20" s="51"/>
      <c r="V20" s="51"/>
      <c r="W20" s="51"/>
      <c r="X20" s="51"/>
      <c r="Y20" s="51"/>
      <c r="Z20" s="51"/>
      <c r="AA20" s="51"/>
      <c r="AB20" s="51"/>
      <c r="AC20" s="51"/>
    </row>
    <row r="21" spans="1:29" ht="23.45" customHeight="1" x14ac:dyDescent="0.3">
      <c r="A21" s="17"/>
      <c r="B21" s="17"/>
      <c r="C21" s="17"/>
      <c r="D21" s="1"/>
      <c r="E21" s="17"/>
      <c r="F21" s="17"/>
      <c r="G21" s="17"/>
      <c r="H21" s="17"/>
      <c r="I21" s="17"/>
      <c r="J21" s="17"/>
      <c r="K21" s="17"/>
      <c r="L21" s="17"/>
      <c r="M21" s="51"/>
      <c r="N21" s="51"/>
      <c r="O21" s="51"/>
      <c r="P21" s="51"/>
      <c r="Q21" s="51"/>
      <c r="R21" s="51"/>
      <c r="S21" s="51"/>
      <c r="T21" s="51"/>
      <c r="U21" s="51"/>
      <c r="V21" s="51"/>
      <c r="W21" s="51"/>
      <c r="X21" s="51"/>
      <c r="Y21" s="51"/>
      <c r="Z21" s="51"/>
      <c r="AA21" s="51"/>
      <c r="AB21" s="51"/>
      <c r="AC21" s="51"/>
    </row>
    <row r="22" spans="1:29" ht="23.45" customHeight="1" x14ac:dyDescent="0.3">
      <c r="A22" s="17"/>
      <c r="B22" s="17"/>
      <c r="C22" s="17"/>
      <c r="D22" s="1"/>
      <c r="E22" s="17"/>
      <c r="F22" s="17"/>
      <c r="G22" s="17"/>
      <c r="H22" s="17"/>
      <c r="I22" s="17"/>
      <c r="J22" s="17"/>
      <c r="K22" s="17"/>
      <c r="L22" s="17"/>
      <c r="M22" s="51"/>
      <c r="N22" s="51"/>
      <c r="O22" s="51"/>
      <c r="P22" s="51"/>
      <c r="Q22" s="51"/>
      <c r="R22" s="51"/>
      <c r="S22" s="51"/>
      <c r="T22" s="51"/>
      <c r="U22" s="51"/>
      <c r="V22" s="51"/>
      <c r="W22" s="51"/>
      <c r="X22" s="51"/>
      <c r="Y22" s="51"/>
      <c r="Z22" s="51"/>
      <c r="AA22" s="51"/>
      <c r="AB22" s="51"/>
      <c r="AC22" s="51"/>
    </row>
    <row r="23" spans="1:29" ht="23.45" customHeight="1" x14ac:dyDescent="0.3">
      <c r="A23" s="17"/>
      <c r="B23" s="17"/>
      <c r="C23" s="17"/>
      <c r="D23" s="1"/>
      <c r="E23" s="17"/>
      <c r="F23" s="17"/>
      <c r="G23" s="17"/>
      <c r="H23" s="17"/>
      <c r="I23" s="17"/>
      <c r="J23" s="17"/>
      <c r="K23" s="17"/>
      <c r="L23" s="17"/>
      <c r="M23" s="51"/>
      <c r="N23" s="51"/>
      <c r="O23" s="51"/>
      <c r="P23" s="51"/>
      <c r="Q23" s="51"/>
      <c r="R23" s="51"/>
      <c r="S23" s="51"/>
      <c r="T23" s="51"/>
      <c r="U23" s="51"/>
      <c r="V23" s="51"/>
      <c r="W23" s="51"/>
      <c r="X23" s="51"/>
      <c r="Y23" s="51"/>
      <c r="Z23" s="51"/>
      <c r="AA23" s="51"/>
      <c r="AB23" s="51"/>
      <c r="AC23" s="51"/>
    </row>
    <row r="24" spans="1:29" ht="23.45" customHeight="1" x14ac:dyDescent="0.3">
      <c r="A24" s="17"/>
      <c r="B24" s="17"/>
      <c r="C24" s="17"/>
      <c r="D24" s="1"/>
      <c r="E24" s="17"/>
      <c r="F24" s="17"/>
      <c r="G24" s="17"/>
      <c r="H24" s="17"/>
      <c r="I24" s="17"/>
      <c r="J24" s="17"/>
      <c r="K24" s="17"/>
      <c r="L24" s="17"/>
      <c r="M24" s="51"/>
      <c r="N24" s="51"/>
      <c r="O24" s="51"/>
      <c r="P24" s="51"/>
      <c r="Q24" s="51"/>
      <c r="R24" s="51"/>
      <c r="S24" s="51"/>
      <c r="T24" s="51"/>
      <c r="U24" s="51"/>
      <c r="V24" s="51"/>
      <c r="W24" s="51"/>
      <c r="X24" s="51"/>
      <c r="Y24" s="51"/>
      <c r="Z24" s="51"/>
      <c r="AA24" s="51"/>
      <c r="AB24" s="51"/>
      <c r="AC24" s="51"/>
    </row>
    <row r="25" spans="1:29" ht="23.45" customHeight="1" x14ac:dyDescent="0.3">
      <c r="A25" s="17"/>
      <c r="B25" s="17"/>
      <c r="C25" s="17"/>
      <c r="D25" s="1"/>
      <c r="E25" s="17"/>
      <c r="F25" s="17"/>
      <c r="G25" s="17"/>
      <c r="H25" s="17"/>
      <c r="I25" s="17"/>
      <c r="J25" s="17"/>
      <c r="K25" s="17"/>
      <c r="L25" s="17"/>
      <c r="M25" s="51"/>
      <c r="N25" s="51"/>
      <c r="O25" s="51"/>
      <c r="P25" s="51"/>
      <c r="Q25" s="51"/>
      <c r="R25" s="51"/>
      <c r="S25" s="51"/>
      <c r="T25" s="51"/>
      <c r="U25" s="51"/>
      <c r="V25" s="51"/>
      <c r="W25" s="51"/>
      <c r="X25" s="51"/>
      <c r="Y25" s="51"/>
      <c r="Z25" s="51"/>
      <c r="AA25" s="51"/>
      <c r="AB25" s="51"/>
      <c r="AC25" s="51"/>
    </row>
    <row r="26" spans="1:29" ht="23.45" customHeight="1" x14ac:dyDescent="0.3">
      <c r="A26" s="17"/>
      <c r="B26" s="17"/>
      <c r="C26" s="17"/>
      <c r="D26" s="1"/>
      <c r="E26" s="17"/>
      <c r="F26" s="17"/>
      <c r="G26" s="17"/>
      <c r="H26" s="17"/>
      <c r="I26" s="17"/>
      <c r="J26" s="17"/>
      <c r="K26" s="17"/>
      <c r="L26" s="17"/>
      <c r="M26" s="51"/>
      <c r="N26" s="51"/>
      <c r="O26" s="51"/>
      <c r="P26" s="51"/>
      <c r="Q26" s="51"/>
      <c r="R26" s="51"/>
      <c r="S26" s="51"/>
      <c r="T26" s="51"/>
      <c r="U26" s="51"/>
      <c r="V26" s="51"/>
      <c r="W26" s="51"/>
      <c r="X26" s="51"/>
      <c r="Y26" s="51"/>
      <c r="Z26" s="51"/>
      <c r="AA26" s="51"/>
      <c r="AB26" s="51"/>
      <c r="AC26" s="51"/>
    </row>
    <row r="27" spans="1:29" ht="23.45" customHeight="1" x14ac:dyDescent="0.3">
      <c r="A27" s="17"/>
      <c r="B27" s="17"/>
      <c r="C27" s="17"/>
      <c r="D27" s="1"/>
      <c r="E27" s="17"/>
      <c r="F27" s="17"/>
      <c r="G27" s="17"/>
      <c r="H27" s="17"/>
      <c r="I27" s="17"/>
      <c r="J27" s="17"/>
      <c r="K27" s="17"/>
      <c r="L27" s="17"/>
      <c r="M27" s="51"/>
      <c r="N27" s="51"/>
      <c r="O27" s="51"/>
      <c r="P27" s="51"/>
      <c r="Q27" s="51"/>
      <c r="R27" s="51"/>
      <c r="S27" s="51"/>
      <c r="T27" s="51"/>
      <c r="U27" s="51"/>
      <c r="V27" s="51"/>
      <c r="W27" s="51"/>
      <c r="X27" s="51"/>
      <c r="Y27" s="51"/>
      <c r="Z27" s="51"/>
      <c r="AA27" s="51"/>
      <c r="AB27" s="51"/>
      <c r="AC27" s="51"/>
    </row>
    <row r="28" spans="1:29" ht="23.45" customHeight="1" x14ac:dyDescent="0.3">
      <c r="A28" s="17"/>
      <c r="B28" s="17"/>
      <c r="C28" s="17"/>
      <c r="D28" s="1"/>
      <c r="E28" s="17"/>
      <c r="F28" s="17"/>
      <c r="G28" s="17"/>
      <c r="H28" s="17"/>
      <c r="I28" s="17"/>
      <c r="J28" s="17"/>
      <c r="K28" s="17"/>
      <c r="L28" s="17"/>
      <c r="M28" s="51"/>
      <c r="N28" s="51"/>
      <c r="O28" s="51"/>
      <c r="P28" s="51"/>
      <c r="Q28" s="51"/>
      <c r="R28" s="51"/>
      <c r="S28" s="51"/>
      <c r="T28" s="51"/>
      <c r="U28" s="51"/>
      <c r="V28" s="51"/>
      <c r="W28" s="51"/>
      <c r="X28" s="51"/>
      <c r="Y28" s="51"/>
      <c r="Z28" s="51"/>
      <c r="AA28" s="51"/>
      <c r="AB28" s="51"/>
      <c r="AC28" s="51"/>
    </row>
    <row r="29" spans="1:29" ht="18.75" x14ac:dyDescent="0.3">
      <c r="A29" s="17"/>
      <c r="B29" s="17"/>
      <c r="C29" s="17"/>
      <c r="D29" s="1"/>
      <c r="E29" s="17"/>
      <c r="F29" s="17"/>
      <c r="G29" s="17"/>
      <c r="H29" s="17"/>
      <c r="I29" s="17"/>
      <c r="J29" s="17"/>
      <c r="K29" s="17"/>
      <c r="L29" s="17"/>
      <c r="M29" s="51"/>
      <c r="N29" s="51"/>
      <c r="O29" s="51"/>
      <c r="P29" s="51"/>
      <c r="Q29" s="51"/>
      <c r="R29" s="51"/>
      <c r="S29" s="51"/>
      <c r="T29" s="51"/>
      <c r="U29" s="51"/>
      <c r="V29" s="51"/>
      <c r="W29" s="51"/>
      <c r="X29" s="51"/>
      <c r="Y29" s="51"/>
      <c r="Z29" s="51"/>
      <c r="AA29" s="51"/>
      <c r="AB29" s="51"/>
      <c r="AC29" s="51"/>
    </row>
    <row r="30" spans="1:29" ht="18.75" x14ac:dyDescent="0.3">
      <c r="A30" s="17"/>
      <c r="B30" s="17"/>
      <c r="C30" s="17"/>
      <c r="D30" s="1"/>
      <c r="E30" s="17"/>
      <c r="F30" s="17"/>
      <c r="G30" s="17"/>
      <c r="H30" s="17"/>
      <c r="I30" s="17"/>
      <c r="J30" s="17"/>
      <c r="K30" s="17"/>
      <c r="L30" s="17"/>
      <c r="M30" s="51"/>
      <c r="N30" s="51"/>
      <c r="O30" s="51"/>
      <c r="P30" s="51"/>
      <c r="Q30" s="51"/>
      <c r="R30" s="51"/>
      <c r="S30" s="51"/>
      <c r="T30" s="51"/>
      <c r="U30" s="51"/>
      <c r="V30" s="51"/>
      <c r="W30" s="51"/>
      <c r="X30" s="51"/>
      <c r="Y30" s="51"/>
      <c r="Z30" s="51"/>
      <c r="AA30" s="51"/>
      <c r="AB30" s="51"/>
      <c r="AC30" s="51"/>
    </row>
    <row r="31" spans="1:29" ht="18.75" x14ac:dyDescent="0.3">
      <c r="A31" s="17"/>
      <c r="B31" s="17"/>
      <c r="C31" s="17"/>
      <c r="D31" s="1" t="s">
        <v>14</v>
      </c>
      <c r="E31" s="17"/>
      <c r="F31" s="17"/>
      <c r="G31" s="17"/>
      <c r="H31" s="17"/>
      <c r="I31" s="17"/>
      <c r="J31" s="17"/>
      <c r="K31" s="17"/>
      <c r="L31" s="17"/>
      <c r="M31" s="51"/>
      <c r="N31" s="51"/>
      <c r="O31" s="51"/>
      <c r="P31" s="51"/>
      <c r="Q31" s="51"/>
      <c r="R31" s="51"/>
      <c r="S31" s="51"/>
      <c r="T31" s="51"/>
      <c r="U31" s="51"/>
      <c r="V31" s="51"/>
      <c r="W31" s="51"/>
      <c r="X31" s="51"/>
      <c r="Y31" s="51"/>
      <c r="Z31" s="51"/>
      <c r="AA31" s="51"/>
      <c r="AB31" s="51"/>
      <c r="AC31" s="51"/>
    </row>
    <row r="32" spans="1:29" ht="18.75" x14ac:dyDescent="0.3">
      <c r="A32" s="17"/>
      <c r="B32" s="17"/>
      <c r="C32" s="17"/>
      <c r="D32" s="1"/>
      <c r="E32" s="17"/>
      <c r="F32" s="17"/>
      <c r="G32" s="17"/>
      <c r="H32" s="17"/>
      <c r="I32" s="17"/>
      <c r="J32" s="17"/>
      <c r="K32" s="17"/>
      <c r="L32" s="17"/>
      <c r="M32" s="51"/>
      <c r="N32" s="51"/>
      <c r="O32" s="51"/>
      <c r="P32" s="51"/>
      <c r="Q32" s="51"/>
      <c r="R32" s="51"/>
      <c r="S32" s="51"/>
      <c r="T32" s="51"/>
      <c r="U32" s="51"/>
      <c r="V32" s="51"/>
      <c r="W32" s="51"/>
      <c r="X32" s="51"/>
      <c r="Y32" s="51"/>
      <c r="Z32" s="51"/>
      <c r="AA32" s="51"/>
      <c r="AB32" s="51"/>
      <c r="AC32" s="51"/>
    </row>
    <row r="33" spans="1:29" ht="18.75" x14ac:dyDescent="0.3">
      <c r="A33" s="17"/>
      <c r="B33" s="17"/>
      <c r="C33" s="17"/>
      <c r="D33" s="111" t="s">
        <v>15</v>
      </c>
      <c r="E33" s="17"/>
      <c r="F33" s="17"/>
      <c r="G33" s="17"/>
      <c r="H33" s="17"/>
      <c r="I33" s="17"/>
      <c r="J33" s="17"/>
      <c r="K33" s="17"/>
      <c r="L33" s="17"/>
      <c r="M33" s="51"/>
      <c r="N33" s="51"/>
      <c r="O33" s="51"/>
      <c r="P33" s="51"/>
      <c r="Q33" s="51"/>
      <c r="R33" s="51"/>
      <c r="S33" s="51"/>
      <c r="T33" s="51"/>
      <c r="U33" s="51"/>
      <c r="V33" s="51"/>
      <c r="W33" s="51"/>
      <c r="X33" s="51"/>
      <c r="Y33" s="51"/>
      <c r="Z33" s="51"/>
      <c r="AA33" s="51"/>
      <c r="AB33" s="51"/>
      <c r="AC33" s="51"/>
    </row>
    <row r="34" spans="1:29" ht="18.75" x14ac:dyDescent="0.3">
      <c r="A34" s="17"/>
      <c r="B34" s="17"/>
      <c r="C34" s="17"/>
      <c r="D34" s="112" t="s">
        <v>16</v>
      </c>
      <c r="E34" s="17"/>
      <c r="F34" s="17"/>
      <c r="G34" s="17"/>
      <c r="H34" s="17"/>
      <c r="I34" s="17"/>
      <c r="J34" s="17"/>
      <c r="K34" s="17"/>
      <c r="L34" s="17"/>
      <c r="M34" s="51"/>
      <c r="N34" s="51"/>
      <c r="O34" s="51"/>
      <c r="P34" s="51"/>
      <c r="Q34" s="51"/>
      <c r="R34" s="51"/>
      <c r="S34" s="51"/>
      <c r="T34" s="51"/>
      <c r="U34" s="51"/>
      <c r="V34" s="51"/>
      <c r="W34" s="51"/>
      <c r="X34" s="51"/>
      <c r="Y34" s="51"/>
      <c r="Z34" s="51"/>
      <c r="AA34" s="51"/>
      <c r="AB34" s="51"/>
      <c r="AC34" s="51"/>
    </row>
    <row r="35" spans="1:29" ht="15.75" x14ac:dyDescent="0.25">
      <c r="A35" s="17"/>
      <c r="B35" s="17"/>
      <c r="C35" s="17"/>
      <c r="D35" s="23"/>
      <c r="E35" s="17"/>
      <c r="F35" s="17"/>
      <c r="G35" s="17"/>
      <c r="H35" s="17"/>
      <c r="I35" s="17"/>
      <c r="J35" s="17"/>
      <c r="K35" s="17"/>
      <c r="L35" s="17"/>
      <c r="M35" s="51"/>
      <c r="N35" s="51"/>
      <c r="O35" s="51"/>
      <c r="P35" s="51"/>
      <c r="Q35" s="51"/>
      <c r="R35" s="51"/>
      <c r="S35" s="51"/>
      <c r="T35" s="51"/>
      <c r="U35" s="51"/>
      <c r="V35" s="51"/>
      <c r="W35" s="51"/>
      <c r="X35" s="51"/>
      <c r="Y35" s="51"/>
      <c r="Z35" s="51"/>
      <c r="AA35" s="51"/>
      <c r="AB35" s="51"/>
      <c r="AC35" s="51"/>
    </row>
    <row r="36" spans="1:29" ht="15.75" x14ac:dyDescent="0.25">
      <c r="A36" s="17"/>
      <c r="B36" s="17"/>
      <c r="C36" s="17"/>
      <c r="D36" s="24" t="s">
        <v>0</v>
      </c>
      <c r="E36" s="17"/>
      <c r="F36" s="17"/>
      <c r="G36" s="17"/>
      <c r="H36" s="17"/>
      <c r="I36" s="17"/>
      <c r="J36" s="17"/>
      <c r="K36" s="17"/>
      <c r="L36" s="17"/>
      <c r="M36" s="51"/>
      <c r="N36" s="51"/>
      <c r="O36" s="51"/>
      <c r="P36" s="51"/>
      <c r="Q36" s="51"/>
      <c r="R36" s="51"/>
      <c r="S36" s="51"/>
      <c r="T36" s="51"/>
      <c r="U36" s="51"/>
      <c r="V36" s="51"/>
      <c r="W36" s="51"/>
      <c r="X36" s="51"/>
      <c r="Y36" s="51"/>
      <c r="Z36" s="51"/>
      <c r="AA36" s="51"/>
      <c r="AB36" s="51"/>
      <c r="AC36" s="51"/>
    </row>
    <row r="37" spans="1:29" ht="15.75" x14ac:dyDescent="0.25">
      <c r="A37" s="17"/>
      <c r="B37" s="17"/>
      <c r="C37" s="17"/>
      <c r="D37" s="24" t="s">
        <v>17</v>
      </c>
      <c r="E37" s="17"/>
      <c r="F37" s="17"/>
      <c r="G37" s="17"/>
      <c r="H37" s="17"/>
      <c r="I37" s="17"/>
      <c r="J37" s="17"/>
      <c r="K37" s="17"/>
      <c r="L37" s="17"/>
      <c r="M37" s="51"/>
      <c r="N37" s="51"/>
      <c r="O37" s="51"/>
      <c r="P37" s="51"/>
      <c r="Q37" s="51"/>
      <c r="R37" s="51"/>
      <c r="S37" s="51"/>
      <c r="T37" s="51"/>
      <c r="U37" s="51"/>
      <c r="V37" s="51"/>
      <c r="W37" s="51"/>
      <c r="X37" s="51"/>
      <c r="Y37" s="51"/>
      <c r="Z37" s="51"/>
      <c r="AA37" s="51"/>
      <c r="AB37" s="51"/>
      <c r="AC37" s="51"/>
    </row>
    <row r="38" spans="1:29" ht="15.75" x14ac:dyDescent="0.25">
      <c r="A38" s="17"/>
      <c r="B38" s="17"/>
      <c r="C38" s="17"/>
      <c r="D38" s="24" t="s">
        <v>185</v>
      </c>
      <c r="E38" s="17"/>
      <c r="F38" s="17"/>
      <c r="G38" s="17"/>
      <c r="H38" s="17"/>
      <c r="I38" s="17"/>
      <c r="J38" s="17"/>
      <c r="K38" s="17"/>
      <c r="L38" s="17"/>
      <c r="M38" s="51"/>
      <c r="N38" s="51"/>
      <c r="O38" s="51"/>
      <c r="P38" s="51"/>
      <c r="Q38" s="51"/>
      <c r="R38" s="51"/>
      <c r="S38" s="51"/>
      <c r="T38" s="51"/>
      <c r="U38" s="51"/>
      <c r="V38" s="51"/>
      <c r="W38" s="51"/>
      <c r="X38" s="51"/>
      <c r="Y38" s="51"/>
      <c r="Z38" s="51"/>
      <c r="AA38" s="51"/>
      <c r="AB38" s="51"/>
      <c r="AC38" s="51"/>
    </row>
    <row r="39" spans="1:29" ht="15.75" x14ac:dyDescent="0.25">
      <c r="A39" s="17"/>
      <c r="B39" s="17"/>
      <c r="C39" s="17"/>
      <c r="D39" s="24" t="s">
        <v>18</v>
      </c>
      <c r="E39" s="17"/>
      <c r="F39" s="17"/>
      <c r="G39" s="17"/>
      <c r="H39" s="17"/>
      <c r="I39" s="17"/>
      <c r="J39" s="17"/>
      <c r="K39" s="17"/>
      <c r="L39" s="17"/>
      <c r="M39" s="51"/>
      <c r="N39" s="51"/>
      <c r="O39" s="51"/>
      <c r="P39" s="51"/>
      <c r="Q39" s="51"/>
      <c r="R39" s="51"/>
      <c r="S39" s="51"/>
      <c r="T39" s="51"/>
      <c r="U39" s="51"/>
      <c r="V39" s="51"/>
      <c r="W39" s="51"/>
      <c r="X39" s="51"/>
      <c r="Y39" s="51"/>
      <c r="Z39" s="51"/>
      <c r="AA39" s="51"/>
      <c r="AB39" s="51"/>
      <c r="AC39" s="51"/>
    </row>
    <row r="40" spans="1:29" ht="15.75" x14ac:dyDescent="0.25">
      <c r="A40" s="17"/>
      <c r="B40" s="17"/>
      <c r="C40" s="17"/>
      <c r="D40" s="25" t="s">
        <v>43</v>
      </c>
      <c r="E40" s="17"/>
      <c r="F40" s="17"/>
      <c r="G40" s="17"/>
      <c r="H40" s="17"/>
      <c r="I40" s="17"/>
      <c r="J40" s="17"/>
      <c r="K40" s="17"/>
      <c r="L40" s="17"/>
      <c r="M40" s="51"/>
      <c r="N40" s="51"/>
      <c r="O40" s="51"/>
      <c r="P40" s="51"/>
      <c r="Q40" s="51"/>
      <c r="R40" s="51"/>
      <c r="S40" s="51"/>
      <c r="T40" s="51"/>
      <c r="U40" s="51"/>
      <c r="V40" s="51"/>
      <c r="W40" s="51"/>
      <c r="X40" s="51"/>
      <c r="Y40" s="51"/>
      <c r="Z40" s="51"/>
      <c r="AA40" s="51"/>
      <c r="AB40" s="51"/>
      <c r="AC40" s="51"/>
    </row>
    <row r="41" spans="1:29" ht="15.75" x14ac:dyDescent="0.25">
      <c r="A41" s="17"/>
      <c r="B41" s="17"/>
      <c r="C41" s="17"/>
      <c r="D41" s="25" t="s">
        <v>19</v>
      </c>
      <c r="E41" s="17"/>
      <c r="F41" s="17"/>
      <c r="G41" s="17"/>
      <c r="H41" s="17"/>
      <c r="I41" s="17"/>
      <c r="J41" s="17"/>
      <c r="K41" s="17"/>
      <c r="L41" s="17"/>
      <c r="M41" s="51"/>
      <c r="N41" s="51"/>
      <c r="O41" s="51"/>
      <c r="P41" s="51"/>
      <c r="Q41" s="51"/>
      <c r="R41" s="51"/>
      <c r="S41" s="51"/>
      <c r="T41" s="51"/>
      <c r="U41" s="51"/>
      <c r="V41" s="51"/>
      <c r="W41" s="51"/>
      <c r="X41" s="51"/>
      <c r="Y41" s="51"/>
      <c r="Z41" s="51"/>
      <c r="AA41" s="51"/>
      <c r="AB41" s="51"/>
      <c r="AC41" s="51"/>
    </row>
    <row r="42" spans="1:29" x14ac:dyDescent="0.2">
      <c r="A42" s="17"/>
      <c r="B42" s="17"/>
      <c r="C42" s="17"/>
      <c r="D42" s="17"/>
      <c r="E42" s="17"/>
      <c r="F42" s="17"/>
      <c r="G42" s="17"/>
      <c r="H42" s="17"/>
      <c r="I42" s="17"/>
      <c r="J42" s="17"/>
      <c r="K42" s="17"/>
      <c r="L42" s="17"/>
      <c r="M42" s="51"/>
      <c r="N42" s="51"/>
      <c r="O42" s="51"/>
      <c r="P42" s="51"/>
      <c r="Q42" s="51"/>
      <c r="R42" s="51"/>
      <c r="S42" s="51"/>
      <c r="T42" s="51"/>
      <c r="U42" s="51"/>
      <c r="V42" s="51"/>
      <c r="W42" s="51"/>
      <c r="X42" s="51"/>
      <c r="Y42" s="51"/>
      <c r="Z42" s="51"/>
      <c r="AA42" s="51"/>
      <c r="AB42" s="51"/>
      <c r="AC42" s="51"/>
    </row>
    <row r="43" spans="1:29" x14ac:dyDescent="0.2">
      <c r="A43" s="17"/>
      <c r="B43" s="17"/>
      <c r="C43" s="17"/>
      <c r="D43" s="17"/>
      <c r="E43" s="17"/>
      <c r="F43" s="17"/>
      <c r="G43" s="17"/>
      <c r="H43" s="17"/>
      <c r="I43" s="17"/>
      <c r="J43" s="17"/>
      <c r="K43" s="17"/>
      <c r="L43" s="17"/>
      <c r="M43" s="51"/>
      <c r="N43" s="51"/>
      <c r="O43" s="51"/>
      <c r="P43" s="51"/>
      <c r="Q43" s="51"/>
      <c r="R43" s="51"/>
      <c r="S43" s="51"/>
      <c r="T43" s="51"/>
      <c r="U43" s="51"/>
      <c r="V43" s="51"/>
      <c r="W43" s="51"/>
      <c r="X43" s="51"/>
      <c r="Y43" s="51"/>
      <c r="Z43" s="51"/>
      <c r="AA43" s="51"/>
      <c r="AB43" s="51"/>
      <c r="AC43" s="51"/>
    </row>
    <row r="44" spans="1:29" x14ac:dyDescent="0.2">
      <c r="A44" s="17"/>
      <c r="B44" s="17"/>
      <c r="C44" s="17"/>
      <c r="D44" s="17"/>
      <c r="E44" s="17"/>
      <c r="F44" s="17"/>
      <c r="G44" s="17"/>
      <c r="H44" s="17"/>
      <c r="I44" s="17"/>
      <c r="J44" s="17"/>
      <c r="K44" s="17"/>
      <c r="L44" s="17"/>
      <c r="M44" s="51"/>
      <c r="N44" s="51"/>
      <c r="O44" s="51"/>
      <c r="P44" s="51"/>
      <c r="Q44" s="51"/>
      <c r="R44" s="51"/>
      <c r="S44" s="51"/>
      <c r="T44" s="51"/>
      <c r="U44" s="51"/>
      <c r="V44" s="51"/>
      <c r="W44" s="51"/>
      <c r="X44" s="51"/>
      <c r="Y44" s="51"/>
      <c r="Z44" s="51"/>
      <c r="AA44" s="51"/>
      <c r="AB44" s="51"/>
      <c r="AC44" s="51"/>
    </row>
    <row r="45" spans="1:29" x14ac:dyDescent="0.2">
      <c r="A45" s="17"/>
      <c r="B45" s="17"/>
      <c r="C45" s="17"/>
      <c r="D45" s="17"/>
      <c r="E45" s="17"/>
      <c r="F45" s="17"/>
      <c r="G45" s="17"/>
      <c r="H45" s="17"/>
      <c r="I45" s="17"/>
      <c r="J45" s="17"/>
      <c r="K45" s="17"/>
      <c r="L45" s="17"/>
      <c r="M45" s="51"/>
      <c r="N45" s="51"/>
      <c r="O45" s="51"/>
      <c r="P45" s="51"/>
      <c r="Q45" s="51"/>
      <c r="R45" s="51"/>
      <c r="S45" s="51"/>
      <c r="T45" s="51"/>
      <c r="U45" s="51"/>
      <c r="V45" s="51"/>
      <c r="W45" s="51"/>
      <c r="X45" s="51"/>
      <c r="Y45" s="51"/>
      <c r="Z45" s="51"/>
      <c r="AA45" s="51"/>
      <c r="AB45" s="51"/>
      <c r="AC45" s="51"/>
    </row>
    <row r="46" spans="1:29" x14ac:dyDescent="0.2">
      <c r="A46" s="17"/>
      <c r="B46" s="17"/>
      <c r="C46" s="17"/>
      <c r="D46" s="17"/>
      <c r="E46" s="17"/>
      <c r="F46" s="17"/>
      <c r="G46" s="17"/>
      <c r="H46" s="17"/>
      <c r="I46" s="17"/>
      <c r="J46" s="17"/>
      <c r="K46" s="17"/>
      <c r="L46" s="17"/>
      <c r="M46" s="51"/>
      <c r="N46" s="51"/>
      <c r="O46" s="51"/>
      <c r="P46" s="51"/>
      <c r="Q46" s="51"/>
      <c r="R46" s="51"/>
      <c r="S46" s="51"/>
      <c r="T46" s="51"/>
      <c r="U46" s="51"/>
      <c r="V46" s="51"/>
      <c r="W46" s="51"/>
      <c r="X46" s="51"/>
      <c r="Y46" s="51"/>
      <c r="Z46" s="51"/>
      <c r="AA46" s="51"/>
      <c r="AB46" s="51"/>
      <c r="AC46" s="51"/>
    </row>
    <row r="47" spans="1:29" x14ac:dyDescent="0.2">
      <c r="A47" s="17"/>
      <c r="B47" s="17"/>
      <c r="C47" s="17"/>
      <c r="D47" s="17"/>
      <c r="E47" s="17"/>
      <c r="F47" s="17"/>
      <c r="G47" s="17"/>
      <c r="H47" s="17"/>
      <c r="I47" s="17"/>
      <c r="J47" s="17"/>
      <c r="K47" s="17"/>
      <c r="L47" s="17"/>
      <c r="M47" s="51"/>
      <c r="N47" s="51"/>
      <c r="O47" s="51"/>
      <c r="P47" s="51"/>
      <c r="Q47" s="51"/>
      <c r="R47" s="51"/>
      <c r="S47" s="51"/>
      <c r="T47" s="51"/>
      <c r="U47" s="51"/>
      <c r="V47" s="51"/>
      <c r="W47" s="51"/>
      <c r="X47" s="51"/>
      <c r="Y47" s="51"/>
      <c r="Z47" s="51"/>
      <c r="AA47" s="51"/>
      <c r="AB47" s="51"/>
      <c r="AC47" s="51"/>
    </row>
    <row r="48" spans="1:29" x14ac:dyDescent="0.2">
      <c r="A48" s="17"/>
      <c r="B48" s="17"/>
      <c r="C48" s="17"/>
      <c r="D48" s="17"/>
      <c r="E48" s="17"/>
      <c r="F48" s="17"/>
      <c r="G48" s="17"/>
      <c r="H48" s="17"/>
      <c r="I48" s="17"/>
      <c r="J48" s="17"/>
      <c r="K48" s="17"/>
      <c r="L48" s="17"/>
      <c r="M48" s="51"/>
      <c r="N48" s="51"/>
      <c r="O48" s="51"/>
      <c r="P48" s="51"/>
      <c r="Q48" s="51"/>
      <c r="R48" s="51"/>
      <c r="S48" s="51"/>
      <c r="T48" s="51"/>
      <c r="U48" s="51"/>
      <c r="V48" s="51"/>
      <c r="W48" s="51"/>
      <c r="X48" s="51"/>
      <c r="Y48" s="51"/>
      <c r="Z48" s="51"/>
      <c r="AA48" s="51"/>
      <c r="AB48" s="51"/>
      <c r="AC48" s="51"/>
    </row>
    <row r="49" spans="1:29" x14ac:dyDescent="0.2">
      <c r="A49" s="17"/>
      <c r="B49" s="17"/>
      <c r="C49" s="17"/>
      <c r="D49" s="17"/>
      <c r="E49" s="17"/>
      <c r="F49" s="17"/>
      <c r="G49" s="17"/>
      <c r="H49" s="17"/>
      <c r="I49" s="17"/>
      <c r="J49" s="17"/>
      <c r="K49" s="17"/>
      <c r="L49" s="17"/>
      <c r="M49" s="51"/>
      <c r="N49" s="51"/>
      <c r="O49" s="51"/>
      <c r="P49" s="51"/>
      <c r="Q49" s="51"/>
      <c r="R49" s="51"/>
      <c r="S49" s="51"/>
      <c r="T49" s="51"/>
      <c r="U49" s="51"/>
      <c r="V49" s="51"/>
      <c r="W49" s="51"/>
      <c r="X49" s="51"/>
      <c r="Y49" s="51"/>
      <c r="Z49" s="51"/>
      <c r="AA49" s="51"/>
      <c r="AB49" s="51"/>
      <c r="AC49" s="51"/>
    </row>
    <row r="50" spans="1:29" x14ac:dyDescent="0.2">
      <c r="A50" s="26"/>
      <c r="B50" s="26"/>
      <c r="C50" s="26"/>
      <c r="D50" s="26"/>
      <c r="E50" s="26"/>
      <c r="F50" s="26"/>
      <c r="G50" s="26"/>
      <c r="H50" s="26"/>
      <c r="I50" s="26"/>
      <c r="J50" s="26"/>
      <c r="K50" s="26"/>
      <c r="L50" s="26"/>
    </row>
    <row r="51" spans="1:29" x14ac:dyDescent="0.2">
      <c r="A51" s="26"/>
      <c r="B51" s="26"/>
      <c r="C51" s="26"/>
      <c r="D51" s="26"/>
      <c r="E51" s="26"/>
      <c r="F51" s="26"/>
      <c r="G51" s="26"/>
      <c r="H51" s="26"/>
      <c r="I51" s="26"/>
      <c r="J51" s="26"/>
      <c r="K51" s="26"/>
      <c r="L51" s="26"/>
    </row>
    <row r="52" spans="1:29" x14ac:dyDescent="0.2">
      <c r="A52" s="26"/>
      <c r="B52" s="26"/>
      <c r="C52" s="26"/>
      <c r="D52" s="26"/>
      <c r="E52" s="26"/>
      <c r="F52" s="26"/>
      <c r="G52" s="26"/>
      <c r="H52" s="26"/>
      <c r="I52" s="26"/>
      <c r="J52" s="26"/>
      <c r="K52" s="26"/>
      <c r="L52" s="26"/>
    </row>
    <row r="53" spans="1:29" x14ac:dyDescent="0.2">
      <c r="A53" s="26"/>
      <c r="B53" s="26"/>
      <c r="C53" s="26"/>
      <c r="D53" s="26"/>
      <c r="E53" s="26"/>
      <c r="F53" s="26"/>
      <c r="G53" s="26"/>
      <c r="H53" s="26"/>
      <c r="I53" s="26"/>
      <c r="J53" s="26"/>
      <c r="K53" s="26"/>
      <c r="L53" s="26"/>
    </row>
    <row r="54" spans="1:29" x14ac:dyDescent="0.2">
      <c r="A54" s="26"/>
      <c r="B54" s="26"/>
      <c r="C54" s="26"/>
      <c r="D54" s="26"/>
      <c r="E54" s="26"/>
      <c r="F54" s="26"/>
      <c r="G54" s="26"/>
      <c r="H54" s="26"/>
      <c r="I54" s="26"/>
      <c r="J54" s="26"/>
      <c r="K54" s="26"/>
      <c r="L54" s="26"/>
    </row>
    <row r="55" spans="1:29" x14ac:dyDescent="0.2">
      <c r="A55" s="26"/>
      <c r="B55" s="26"/>
      <c r="C55" s="26"/>
      <c r="D55" s="26"/>
      <c r="E55" s="26"/>
      <c r="F55" s="26"/>
      <c r="G55" s="26"/>
      <c r="H55" s="26"/>
      <c r="I55" s="26"/>
      <c r="J55" s="26"/>
      <c r="K55" s="26"/>
      <c r="L55" s="26"/>
    </row>
    <row r="56" spans="1:29" x14ac:dyDescent="0.2">
      <c r="A56" s="26"/>
      <c r="B56" s="26"/>
      <c r="C56" s="26"/>
      <c r="D56" s="26"/>
      <c r="E56" s="26"/>
      <c r="F56" s="26"/>
      <c r="G56" s="26"/>
      <c r="H56" s="26"/>
      <c r="I56" s="26"/>
      <c r="J56" s="26"/>
      <c r="K56" s="26"/>
      <c r="L56" s="26"/>
    </row>
    <row r="57" spans="1:29" x14ac:dyDescent="0.2">
      <c r="A57" s="26"/>
      <c r="B57" s="26"/>
      <c r="C57" s="26"/>
      <c r="D57" s="26"/>
      <c r="E57" s="26"/>
      <c r="F57" s="26"/>
      <c r="G57" s="26"/>
      <c r="H57" s="26"/>
      <c r="I57" s="26"/>
      <c r="J57" s="26"/>
      <c r="K57" s="26"/>
      <c r="L57" s="26"/>
    </row>
    <row r="58" spans="1:29" x14ac:dyDescent="0.2">
      <c r="A58" s="26"/>
      <c r="B58" s="26"/>
      <c r="C58" s="26"/>
      <c r="D58" s="26"/>
      <c r="E58" s="26"/>
      <c r="F58" s="26"/>
      <c r="G58" s="26"/>
      <c r="H58" s="26"/>
      <c r="I58" s="26"/>
      <c r="J58" s="26"/>
      <c r="K58" s="26"/>
      <c r="L58" s="26"/>
    </row>
    <row r="59" spans="1:29" x14ac:dyDescent="0.2">
      <c r="A59" s="26"/>
      <c r="B59" s="26"/>
      <c r="C59" s="26"/>
      <c r="D59" s="26"/>
      <c r="E59" s="26"/>
      <c r="F59" s="26"/>
      <c r="G59" s="26"/>
      <c r="H59" s="26"/>
      <c r="I59" s="26"/>
      <c r="J59" s="26"/>
      <c r="K59" s="26"/>
      <c r="L59" s="26"/>
    </row>
    <row r="60" spans="1:29" x14ac:dyDescent="0.2">
      <c r="A60" s="26"/>
      <c r="B60" s="26"/>
      <c r="C60" s="26"/>
      <c r="D60" s="26"/>
      <c r="E60" s="26"/>
      <c r="F60" s="26"/>
      <c r="G60" s="26"/>
      <c r="H60" s="26"/>
      <c r="I60" s="26"/>
      <c r="J60" s="26"/>
      <c r="K60" s="26"/>
      <c r="L60" s="26"/>
    </row>
    <row r="61" spans="1:29" x14ac:dyDescent="0.2">
      <c r="A61" s="26"/>
      <c r="B61" s="26"/>
      <c r="C61" s="26"/>
      <c r="D61" s="26"/>
      <c r="E61" s="26"/>
      <c r="F61" s="26"/>
      <c r="G61" s="26"/>
      <c r="H61" s="26"/>
      <c r="I61" s="26"/>
      <c r="J61" s="26"/>
      <c r="K61" s="26"/>
      <c r="L61" s="26"/>
    </row>
    <row r="62" spans="1:29" x14ac:dyDescent="0.2">
      <c r="A62" s="26"/>
      <c r="B62" s="26"/>
      <c r="C62" s="26"/>
      <c r="D62" s="26"/>
      <c r="E62" s="26"/>
      <c r="F62" s="26"/>
      <c r="G62" s="26"/>
      <c r="H62" s="26"/>
      <c r="I62" s="26"/>
      <c r="J62" s="26"/>
      <c r="K62" s="26"/>
      <c r="L62" s="26"/>
    </row>
    <row r="63" spans="1:29" x14ac:dyDescent="0.2">
      <c r="A63" s="26"/>
      <c r="B63" s="26"/>
      <c r="C63" s="26"/>
      <c r="D63" s="26"/>
      <c r="E63" s="26"/>
      <c r="F63" s="26"/>
      <c r="G63" s="26"/>
      <c r="H63" s="26"/>
      <c r="I63" s="26"/>
      <c r="J63" s="26"/>
      <c r="K63" s="26"/>
      <c r="L63" s="26"/>
    </row>
    <row r="64" spans="1:29" x14ac:dyDescent="0.2">
      <c r="A64" s="26"/>
      <c r="B64" s="26"/>
      <c r="C64" s="26"/>
      <c r="D64" s="26"/>
      <c r="E64" s="26"/>
      <c r="F64" s="26"/>
      <c r="G64" s="26"/>
      <c r="H64" s="26"/>
      <c r="I64" s="26"/>
      <c r="J64" s="26"/>
      <c r="K64" s="26"/>
      <c r="L64" s="26"/>
    </row>
    <row r="65" spans="1:12" x14ac:dyDescent="0.2">
      <c r="A65" s="26"/>
      <c r="B65" s="26"/>
      <c r="C65" s="26"/>
      <c r="D65" s="26"/>
      <c r="E65" s="26"/>
      <c r="F65" s="26"/>
      <c r="G65" s="26"/>
      <c r="H65" s="26"/>
      <c r="I65" s="26"/>
      <c r="J65" s="26"/>
      <c r="K65" s="26"/>
      <c r="L65" s="26"/>
    </row>
    <row r="66" spans="1:12" x14ac:dyDescent="0.2">
      <c r="A66" s="26"/>
      <c r="B66" s="26"/>
      <c r="C66" s="26"/>
      <c r="D66" s="26"/>
      <c r="E66" s="26"/>
      <c r="F66" s="26"/>
      <c r="G66" s="26"/>
      <c r="H66" s="26"/>
      <c r="I66" s="26"/>
      <c r="J66" s="26"/>
      <c r="K66" s="26"/>
      <c r="L66" s="26"/>
    </row>
    <row r="67" spans="1:12" x14ac:dyDescent="0.2">
      <c r="A67" s="26"/>
      <c r="B67" s="26"/>
      <c r="C67" s="26"/>
      <c r="D67" s="26"/>
      <c r="E67" s="26"/>
      <c r="F67" s="26"/>
      <c r="G67" s="26"/>
      <c r="H67" s="26"/>
      <c r="I67" s="26"/>
      <c r="J67" s="26"/>
      <c r="K67" s="26"/>
      <c r="L67" s="26"/>
    </row>
    <row r="68" spans="1:12" x14ac:dyDescent="0.2">
      <c r="A68" s="26"/>
      <c r="B68" s="26"/>
      <c r="C68" s="26"/>
      <c r="D68" s="26"/>
      <c r="E68" s="26"/>
      <c r="F68" s="26"/>
      <c r="G68" s="26"/>
      <c r="H68" s="26"/>
      <c r="I68" s="26"/>
      <c r="J68" s="26"/>
      <c r="K68" s="26"/>
      <c r="L68" s="26"/>
    </row>
    <row r="69" spans="1:12" x14ac:dyDescent="0.2">
      <c r="A69" s="26"/>
      <c r="B69" s="26"/>
      <c r="C69" s="26"/>
      <c r="D69" s="26"/>
      <c r="E69" s="26"/>
      <c r="F69" s="26"/>
      <c r="G69" s="26"/>
      <c r="H69" s="26"/>
      <c r="I69" s="26"/>
      <c r="J69" s="26"/>
      <c r="K69" s="26"/>
      <c r="L69" s="26"/>
    </row>
    <row r="70" spans="1:12" x14ac:dyDescent="0.2">
      <c r="A70" s="26"/>
      <c r="B70" s="26"/>
      <c r="C70" s="26"/>
      <c r="D70" s="26"/>
      <c r="E70" s="26"/>
      <c r="F70" s="26"/>
      <c r="G70" s="26"/>
      <c r="H70" s="26"/>
      <c r="I70" s="26"/>
      <c r="J70" s="26"/>
      <c r="K70" s="26"/>
      <c r="L70" s="26"/>
    </row>
    <row r="71" spans="1:12" x14ac:dyDescent="0.2">
      <c r="A71" s="26"/>
      <c r="B71" s="26"/>
      <c r="C71" s="26"/>
      <c r="D71" s="26"/>
      <c r="E71" s="26"/>
      <c r="F71" s="26"/>
      <c r="G71" s="26"/>
      <c r="H71" s="26"/>
      <c r="I71" s="26"/>
      <c r="J71" s="26"/>
      <c r="K71" s="26"/>
      <c r="L71" s="26"/>
    </row>
    <row r="72" spans="1:12" x14ac:dyDescent="0.2">
      <c r="A72" s="26"/>
      <c r="B72" s="26"/>
      <c r="C72" s="26"/>
      <c r="D72" s="26"/>
      <c r="E72" s="26"/>
      <c r="F72" s="26"/>
      <c r="G72" s="26"/>
      <c r="H72" s="26"/>
      <c r="I72" s="26"/>
      <c r="J72" s="26"/>
      <c r="K72" s="26"/>
      <c r="L72" s="26"/>
    </row>
    <row r="73" spans="1:12" x14ac:dyDescent="0.2">
      <c r="A73" s="26"/>
      <c r="B73" s="26"/>
      <c r="C73" s="26"/>
      <c r="D73" s="26"/>
      <c r="E73" s="26"/>
      <c r="F73" s="26"/>
      <c r="G73" s="26"/>
      <c r="H73" s="26"/>
      <c r="I73" s="26"/>
      <c r="J73" s="26"/>
      <c r="K73" s="26"/>
      <c r="L73" s="26"/>
    </row>
    <row r="74" spans="1:12" x14ac:dyDescent="0.2">
      <c r="A74" s="26"/>
      <c r="B74" s="26"/>
      <c r="C74" s="26"/>
      <c r="D74" s="26"/>
      <c r="E74" s="26"/>
      <c r="F74" s="26"/>
      <c r="G74" s="26"/>
      <c r="H74" s="26"/>
      <c r="I74" s="26"/>
      <c r="J74" s="26"/>
      <c r="K74" s="26"/>
      <c r="L74" s="26"/>
    </row>
    <row r="75" spans="1:12" x14ac:dyDescent="0.2">
      <c r="A75" s="26"/>
      <c r="B75" s="26"/>
      <c r="C75" s="26"/>
      <c r="D75" s="26"/>
      <c r="E75" s="26"/>
      <c r="F75" s="26"/>
      <c r="G75" s="26"/>
      <c r="H75" s="26"/>
      <c r="I75" s="26"/>
      <c r="J75" s="26"/>
      <c r="K75" s="26"/>
      <c r="L75" s="26"/>
    </row>
    <row r="76" spans="1:12" x14ac:dyDescent="0.2">
      <c r="A76" s="26"/>
      <c r="B76" s="26"/>
      <c r="C76" s="26"/>
      <c r="D76" s="26"/>
      <c r="E76" s="26"/>
      <c r="F76" s="26"/>
      <c r="G76" s="26"/>
      <c r="H76" s="26"/>
      <c r="I76" s="26"/>
      <c r="J76" s="26"/>
      <c r="K76" s="26"/>
      <c r="L76" s="26"/>
    </row>
    <row r="77" spans="1:12" x14ac:dyDescent="0.2">
      <c r="A77" s="26"/>
      <c r="B77" s="26"/>
      <c r="C77" s="26"/>
      <c r="D77" s="26"/>
      <c r="E77" s="26"/>
      <c r="F77" s="26"/>
      <c r="G77" s="26"/>
      <c r="H77" s="26"/>
      <c r="I77" s="26"/>
      <c r="J77" s="26"/>
      <c r="K77" s="26"/>
      <c r="L77" s="26"/>
    </row>
    <row r="78" spans="1:12" x14ac:dyDescent="0.2">
      <c r="A78" s="26"/>
      <c r="B78" s="26"/>
      <c r="C78" s="26"/>
      <c r="D78" s="26"/>
      <c r="E78" s="26"/>
      <c r="F78" s="26"/>
      <c r="G78" s="26"/>
      <c r="H78" s="26"/>
      <c r="I78" s="26"/>
      <c r="J78" s="26"/>
      <c r="K78" s="26"/>
      <c r="L78" s="26"/>
    </row>
    <row r="79" spans="1:12" x14ac:dyDescent="0.2">
      <c r="A79" s="26"/>
      <c r="B79" s="26"/>
      <c r="C79" s="26"/>
      <c r="D79" s="26"/>
      <c r="E79" s="26"/>
      <c r="F79" s="26"/>
      <c r="G79" s="26"/>
      <c r="H79" s="26"/>
      <c r="I79" s="26"/>
      <c r="J79" s="26"/>
      <c r="K79" s="26"/>
      <c r="L79" s="26"/>
    </row>
    <row r="80" spans="1:12" x14ac:dyDescent="0.2">
      <c r="A80" s="26"/>
      <c r="B80" s="26"/>
      <c r="C80" s="26"/>
      <c r="D80" s="26"/>
      <c r="E80" s="26"/>
      <c r="F80" s="26"/>
      <c r="G80" s="26"/>
      <c r="H80" s="26"/>
      <c r="I80" s="26"/>
      <c r="J80" s="26"/>
      <c r="K80" s="26"/>
      <c r="L80" s="26"/>
    </row>
    <row r="81" spans="1:12" x14ac:dyDescent="0.2">
      <c r="A81" s="26"/>
      <c r="B81" s="26"/>
      <c r="C81" s="26"/>
      <c r="D81" s="26"/>
      <c r="E81" s="26"/>
      <c r="F81" s="26"/>
      <c r="G81" s="26"/>
      <c r="H81" s="26"/>
      <c r="I81" s="26"/>
      <c r="J81" s="26"/>
      <c r="K81" s="26"/>
      <c r="L81" s="26"/>
    </row>
    <row r="82" spans="1:12" x14ac:dyDescent="0.2">
      <c r="A82" s="26"/>
      <c r="B82" s="26"/>
      <c r="C82" s="26"/>
      <c r="D82" s="26"/>
      <c r="E82" s="26"/>
      <c r="F82" s="26"/>
      <c r="G82" s="26"/>
      <c r="H82" s="26"/>
      <c r="I82" s="26"/>
      <c r="J82" s="26"/>
      <c r="K82" s="26"/>
      <c r="L82" s="26"/>
    </row>
    <row r="83" spans="1:12" x14ac:dyDescent="0.2">
      <c r="A83" s="26"/>
      <c r="B83" s="26"/>
      <c r="C83" s="26"/>
      <c r="D83" s="26"/>
      <c r="E83" s="26"/>
      <c r="F83" s="26"/>
      <c r="G83" s="26"/>
      <c r="H83" s="26"/>
      <c r="I83" s="26"/>
      <c r="J83" s="26"/>
      <c r="K83" s="26"/>
      <c r="L83" s="26"/>
    </row>
    <row r="84" spans="1:12" x14ac:dyDescent="0.2">
      <c r="A84" s="26"/>
      <c r="B84" s="26"/>
      <c r="C84" s="26"/>
      <c r="D84" s="26"/>
      <c r="E84" s="26"/>
      <c r="F84" s="26"/>
      <c r="G84" s="26"/>
      <c r="H84" s="26"/>
      <c r="I84" s="26"/>
      <c r="J84" s="26"/>
      <c r="K84" s="26"/>
      <c r="L84" s="26"/>
    </row>
    <row r="85" spans="1:12" x14ac:dyDescent="0.2">
      <c r="A85" s="26"/>
      <c r="B85" s="26"/>
      <c r="C85" s="26"/>
      <c r="D85" s="26"/>
      <c r="E85" s="26"/>
      <c r="F85" s="26"/>
      <c r="G85" s="26"/>
      <c r="H85" s="26"/>
      <c r="I85" s="26"/>
      <c r="J85" s="26"/>
      <c r="K85" s="26"/>
      <c r="L85" s="26"/>
    </row>
    <row r="86" spans="1:12" x14ac:dyDescent="0.2">
      <c r="A86" s="26"/>
      <c r="B86" s="26"/>
      <c r="C86" s="26"/>
      <c r="D86" s="26"/>
      <c r="E86" s="26"/>
      <c r="F86" s="26"/>
      <c r="G86" s="26"/>
      <c r="H86" s="26"/>
      <c r="I86" s="26"/>
      <c r="J86" s="26"/>
      <c r="K86" s="26"/>
      <c r="L86" s="26"/>
    </row>
    <row r="87" spans="1:12" x14ac:dyDescent="0.2">
      <c r="A87" s="26"/>
      <c r="B87" s="26"/>
      <c r="C87" s="26"/>
      <c r="D87" s="26"/>
      <c r="E87" s="26"/>
      <c r="F87" s="26"/>
      <c r="G87" s="26"/>
      <c r="H87" s="26"/>
      <c r="I87" s="26"/>
      <c r="J87" s="26"/>
      <c r="K87" s="26"/>
      <c r="L87" s="26"/>
    </row>
    <row r="88" spans="1:12" x14ac:dyDescent="0.2">
      <c r="A88" s="26"/>
      <c r="B88" s="26"/>
      <c r="C88" s="26"/>
      <c r="D88" s="26"/>
      <c r="E88" s="26"/>
      <c r="F88" s="26"/>
      <c r="G88" s="26"/>
      <c r="H88" s="26"/>
      <c r="I88" s="26"/>
      <c r="J88" s="26"/>
      <c r="K88" s="26"/>
      <c r="L88" s="26"/>
    </row>
    <row r="89" spans="1:12" x14ac:dyDescent="0.2">
      <c r="A89" s="26"/>
      <c r="B89" s="26"/>
      <c r="C89" s="26"/>
      <c r="D89" s="26"/>
      <c r="E89" s="26"/>
      <c r="F89" s="26"/>
      <c r="G89" s="26"/>
      <c r="H89" s="26"/>
      <c r="I89" s="26"/>
      <c r="J89" s="26"/>
      <c r="K89" s="26"/>
      <c r="L89" s="26"/>
    </row>
    <row r="90" spans="1:12" x14ac:dyDescent="0.2">
      <c r="A90" s="26"/>
      <c r="B90" s="26"/>
      <c r="C90" s="26"/>
      <c r="D90" s="26"/>
      <c r="E90" s="26"/>
      <c r="F90" s="26"/>
      <c r="G90" s="26"/>
      <c r="H90" s="26"/>
      <c r="I90" s="26"/>
      <c r="J90" s="26"/>
      <c r="K90" s="26"/>
      <c r="L90" s="26"/>
    </row>
    <row r="91" spans="1:12" x14ac:dyDescent="0.2">
      <c r="A91" s="26"/>
      <c r="B91" s="26"/>
      <c r="C91" s="26"/>
      <c r="D91" s="26"/>
      <c r="E91" s="26"/>
      <c r="F91" s="26"/>
      <c r="G91" s="26"/>
      <c r="H91" s="26"/>
      <c r="I91" s="26"/>
      <c r="J91" s="26"/>
      <c r="K91" s="26"/>
      <c r="L91" s="26"/>
    </row>
    <row r="92" spans="1:12" x14ac:dyDescent="0.2">
      <c r="A92" s="26"/>
      <c r="B92" s="26"/>
      <c r="C92" s="26"/>
      <c r="D92" s="26"/>
      <c r="E92" s="26"/>
      <c r="F92" s="26"/>
      <c r="G92" s="26"/>
      <c r="H92" s="26"/>
      <c r="I92" s="26"/>
      <c r="J92" s="26"/>
      <c r="K92" s="26"/>
      <c r="L92" s="26"/>
    </row>
    <row r="93" spans="1:12" x14ac:dyDescent="0.2">
      <c r="A93" s="26"/>
      <c r="B93" s="26"/>
      <c r="C93" s="26"/>
      <c r="D93" s="26"/>
      <c r="E93" s="26"/>
      <c r="F93" s="26"/>
      <c r="G93" s="26"/>
      <c r="H93" s="26"/>
      <c r="I93" s="26"/>
      <c r="J93" s="26"/>
      <c r="K93" s="26"/>
      <c r="L93" s="26"/>
    </row>
    <row r="94" spans="1:12" x14ac:dyDescent="0.2">
      <c r="A94" s="26"/>
      <c r="B94" s="26"/>
      <c r="C94" s="26"/>
      <c r="D94" s="26"/>
      <c r="E94" s="26"/>
      <c r="F94" s="26"/>
      <c r="G94" s="26"/>
      <c r="H94" s="26"/>
      <c r="I94" s="26"/>
      <c r="J94" s="26"/>
      <c r="K94" s="26"/>
      <c r="L94" s="26"/>
    </row>
    <row r="95" spans="1:12" x14ac:dyDescent="0.2">
      <c r="A95" s="26"/>
      <c r="B95" s="26"/>
      <c r="C95" s="26"/>
      <c r="D95" s="26"/>
      <c r="E95" s="26"/>
      <c r="F95" s="26"/>
      <c r="G95" s="26"/>
      <c r="H95" s="26"/>
      <c r="I95" s="26"/>
      <c r="J95" s="26"/>
      <c r="K95" s="26"/>
      <c r="L95" s="26"/>
    </row>
    <row r="96" spans="1:12" x14ac:dyDescent="0.2">
      <c r="A96" s="26"/>
      <c r="B96" s="26"/>
      <c r="C96" s="26"/>
      <c r="D96" s="26"/>
      <c r="E96" s="26"/>
      <c r="F96" s="26"/>
      <c r="G96" s="26"/>
      <c r="H96" s="26"/>
      <c r="I96" s="26"/>
      <c r="J96" s="26"/>
      <c r="K96" s="26"/>
      <c r="L96" s="26"/>
    </row>
    <row r="97" spans="1:12" x14ac:dyDescent="0.2">
      <c r="A97" s="26"/>
      <c r="B97" s="26"/>
      <c r="C97" s="26"/>
      <c r="D97" s="26"/>
      <c r="E97" s="26"/>
      <c r="F97" s="26"/>
      <c r="G97" s="26"/>
      <c r="H97" s="26"/>
      <c r="I97" s="26"/>
      <c r="J97" s="26"/>
      <c r="K97" s="26"/>
      <c r="L97" s="26"/>
    </row>
    <row r="98" spans="1:12" x14ac:dyDescent="0.2">
      <c r="A98" s="26"/>
      <c r="B98" s="26"/>
      <c r="C98" s="26"/>
      <c r="D98" s="26"/>
      <c r="E98" s="26"/>
      <c r="F98" s="26"/>
      <c r="G98" s="26"/>
      <c r="H98" s="26"/>
      <c r="I98" s="26"/>
      <c r="J98" s="26"/>
      <c r="K98" s="26"/>
      <c r="L98" s="26"/>
    </row>
    <row r="99" spans="1:12" x14ac:dyDescent="0.2">
      <c r="A99" s="26"/>
      <c r="B99" s="26"/>
      <c r="C99" s="26"/>
      <c r="D99" s="26"/>
      <c r="E99" s="26"/>
      <c r="F99" s="26"/>
      <c r="G99" s="26"/>
      <c r="H99" s="26"/>
      <c r="I99" s="26"/>
      <c r="J99" s="26"/>
      <c r="K99" s="26"/>
      <c r="L99" s="26"/>
    </row>
    <row r="100" spans="1:12" x14ac:dyDescent="0.2">
      <c r="A100" s="26"/>
      <c r="B100" s="26"/>
      <c r="C100" s="26"/>
      <c r="D100" s="26"/>
      <c r="E100" s="26"/>
      <c r="F100" s="26"/>
      <c r="G100" s="26"/>
      <c r="H100" s="26"/>
      <c r="I100" s="26"/>
      <c r="J100" s="26"/>
      <c r="K100" s="26"/>
      <c r="L100" s="26"/>
    </row>
    <row r="101" spans="1:12" x14ac:dyDescent="0.2">
      <c r="A101" s="26"/>
      <c r="B101" s="26"/>
      <c r="C101" s="26"/>
      <c r="D101" s="26"/>
      <c r="E101" s="26"/>
      <c r="F101" s="26"/>
      <c r="G101" s="26"/>
      <c r="H101" s="26"/>
      <c r="I101" s="26"/>
      <c r="J101" s="26"/>
      <c r="K101" s="26"/>
      <c r="L101" s="26"/>
    </row>
    <row r="102" spans="1:12" x14ac:dyDescent="0.2">
      <c r="A102" s="26"/>
      <c r="B102" s="26"/>
      <c r="C102" s="26"/>
      <c r="D102" s="26"/>
      <c r="E102" s="26"/>
      <c r="F102" s="26"/>
      <c r="G102" s="26"/>
      <c r="H102" s="26"/>
      <c r="I102" s="26"/>
      <c r="J102" s="26"/>
      <c r="K102" s="26"/>
      <c r="L102" s="26"/>
    </row>
    <row r="103" spans="1:12" x14ac:dyDescent="0.2">
      <c r="A103" s="26"/>
      <c r="B103" s="26"/>
      <c r="C103" s="26"/>
      <c r="D103" s="26"/>
      <c r="E103" s="26"/>
      <c r="F103" s="26"/>
      <c r="G103" s="26"/>
      <c r="H103" s="26"/>
      <c r="I103" s="26"/>
      <c r="J103" s="26"/>
      <c r="K103" s="26"/>
      <c r="L103" s="26"/>
    </row>
    <row r="104" spans="1:12" x14ac:dyDescent="0.2">
      <c r="A104" s="26"/>
      <c r="B104" s="26"/>
      <c r="C104" s="26"/>
      <c r="D104" s="26"/>
      <c r="E104" s="26"/>
      <c r="F104" s="26"/>
      <c r="G104" s="26"/>
      <c r="H104" s="26"/>
      <c r="I104" s="26"/>
      <c r="J104" s="26"/>
      <c r="K104" s="26"/>
      <c r="L104" s="26"/>
    </row>
    <row r="105" spans="1:12" x14ac:dyDescent="0.2">
      <c r="A105" s="26"/>
      <c r="B105" s="26"/>
      <c r="C105" s="26"/>
      <c r="D105" s="26"/>
      <c r="E105" s="26"/>
      <c r="F105" s="26"/>
      <c r="G105" s="26"/>
      <c r="H105" s="26"/>
      <c r="I105" s="26"/>
      <c r="J105" s="26"/>
      <c r="K105" s="26"/>
      <c r="L105" s="26"/>
    </row>
    <row r="106" spans="1:12" x14ac:dyDescent="0.2">
      <c r="A106" s="26"/>
      <c r="B106" s="26"/>
      <c r="C106" s="26"/>
      <c r="D106" s="26"/>
      <c r="E106" s="26"/>
      <c r="F106" s="26"/>
      <c r="G106" s="26"/>
      <c r="H106" s="26"/>
      <c r="I106" s="26"/>
      <c r="J106" s="26"/>
      <c r="K106" s="26"/>
      <c r="L106" s="26"/>
    </row>
    <row r="107" spans="1:12" x14ac:dyDescent="0.2">
      <c r="A107" s="26"/>
      <c r="B107" s="26"/>
      <c r="C107" s="26"/>
      <c r="D107" s="26"/>
      <c r="E107" s="26"/>
      <c r="F107" s="26"/>
      <c r="G107" s="26"/>
      <c r="H107" s="26"/>
      <c r="I107" s="26"/>
      <c r="J107" s="26"/>
      <c r="K107" s="26"/>
      <c r="L107" s="26"/>
    </row>
    <row r="108" spans="1:12" x14ac:dyDescent="0.2">
      <c r="A108" s="26"/>
      <c r="B108" s="26"/>
      <c r="C108" s="26"/>
      <c r="D108" s="26"/>
      <c r="E108" s="26"/>
      <c r="F108" s="26"/>
      <c r="G108" s="26"/>
      <c r="H108" s="26"/>
      <c r="I108" s="26"/>
      <c r="J108" s="26"/>
      <c r="K108" s="26"/>
      <c r="L108" s="26"/>
    </row>
    <row r="109" spans="1:12" x14ac:dyDescent="0.2">
      <c r="A109" s="26"/>
      <c r="B109" s="26"/>
      <c r="C109" s="26"/>
      <c r="D109" s="26"/>
      <c r="E109" s="26"/>
      <c r="F109" s="26"/>
      <c r="G109" s="26"/>
      <c r="H109" s="26"/>
      <c r="I109" s="26"/>
      <c r="J109" s="26"/>
      <c r="K109" s="26"/>
      <c r="L109" s="26"/>
    </row>
    <row r="110" spans="1:12" x14ac:dyDescent="0.2">
      <c r="A110" s="26"/>
      <c r="B110" s="26"/>
      <c r="C110" s="26"/>
      <c r="D110" s="26"/>
      <c r="E110" s="26"/>
      <c r="F110" s="26"/>
      <c r="G110" s="26"/>
      <c r="H110" s="26"/>
      <c r="I110" s="26"/>
      <c r="J110" s="26"/>
      <c r="K110" s="26"/>
      <c r="L110" s="26"/>
    </row>
    <row r="111" spans="1:12" x14ac:dyDescent="0.2">
      <c r="A111" s="26"/>
      <c r="B111" s="26"/>
      <c r="C111" s="26"/>
      <c r="D111" s="26"/>
      <c r="E111" s="26"/>
      <c r="F111" s="26"/>
      <c r="G111" s="26"/>
      <c r="H111" s="26"/>
      <c r="I111" s="26"/>
      <c r="J111" s="26"/>
      <c r="K111" s="26"/>
      <c r="L111" s="26"/>
    </row>
    <row r="112" spans="1:12" x14ac:dyDescent="0.2">
      <c r="A112" s="26"/>
      <c r="B112" s="26"/>
      <c r="C112" s="26"/>
      <c r="D112" s="26"/>
      <c r="E112" s="26"/>
      <c r="F112" s="26"/>
      <c r="G112" s="26"/>
      <c r="H112" s="26"/>
      <c r="I112" s="26"/>
      <c r="J112" s="26"/>
      <c r="K112" s="26"/>
      <c r="L112" s="26"/>
    </row>
    <row r="113" spans="1:12" x14ac:dyDescent="0.2">
      <c r="A113" s="26"/>
      <c r="B113" s="26"/>
      <c r="C113" s="26"/>
      <c r="D113" s="26"/>
      <c r="E113" s="26"/>
      <c r="F113" s="26"/>
      <c r="G113" s="26"/>
      <c r="H113" s="26"/>
      <c r="I113" s="26"/>
      <c r="J113" s="26"/>
      <c r="K113" s="26"/>
      <c r="L113" s="26"/>
    </row>
    <row r="114" spans="1:12" x14ac:dyDescent="0.2">
      <c r="A114" s="26"/>
      <c r="B114" s="26"/>
      <c r="C114" s="26"/>
      <c r="D114" s="26"/>
      <c r="E114" s="26"/>
      <c r="F114" s="26"/>
      <c r="G114" s="26"/>
      <c r="H114" s="26"/>
      <c r="I114" s="26"/>
      <c r="J114" s="26"/>
      <c r="K114" s="26"/>
      <c r="L114" s="26"/>
    </row>
    <row r="115" spans="1:12" x14ac:dyDescent="0.2">
      <c r="A115" s="26"/>
      <c r="B115" s="26"/>
      <c r="C115" s="26"/>
      <c r="D115" s="26"/>
      <c r="E115" s="26"/>
      <c r="F115" s="26"/>
      <c r="G115" s="26"/>
      <c r="H115" s="26"/>
      <c r="I115" s="26"/>
      <c r="J115" s="26"/>
      <c r="K115" s="26"/>
      <c r="L115" s="26"/>
    </row>
  </sheetData>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26"/>
  <sheetViews>
    <sheetView zoomScaleNormal="100" workbookViewId="0"/>
  </sheetViews>
  <sheetFormatPr defaultColWidth="9.140625" defaultRowHeight="15.75" x14ac:dyDescent="0.25"/>
  <cols>
    <col min="1" max="1" width="4.7109375" style="3" customWidth="1"/>
    <col min="2" max="25" width="14.7109375" style="3" customWidth="1"/>
    <col min="26" max="34" width="13.7109375" style="3" customWidth="1"/>
    <col min="35" max="48" width="9.140625" style="3"/>
    <col min="49" max="16384" width="9.140625" style="2"/>
  </cols>
  <sheetData>
    <row r="1" spans="1:48" ht="16.5" thickBot="1" x14ac:dyDescent="0.3"/>
    <row r="2" spans="1:48" ht="21" x14ac:dyDescent="0.35">
      <c r="B2" s="30" t="s">
        <v>49</v>
      </c>
      <c r="C2" s="31"/>
      <c r="D2" s="32"/>
    </row>
    <row r="3" spans="1:48" ht="21.75" thickBot="1" x14ac:dyDescent="0.4">
      <c r="B3" s="33" t="s">
        <v>50</v>
      </c>
      <c r="C3" s="34"/>
      <c r="D3" s="35"/>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5" spans="1:48" ht="31.5" customHeight="1" x14ac:dyDescent="0.25">
      <c r="A5" s="164" t="s">
        <v>211</v>
      </c>
      <c r="B5" s="164"/>
      <c r="C5" s="164"/>
      <c r="D5" s="164"/>
      <c r="E5" s="164"/>
      <c r="F5" s="164"/>
      <c r="G5" s="164"/>
      <c r="H5" s="164"/>
      <c r="I5" s="164"/>
      <c r="J5" s="164"/>
      <c r="K5" s="164"/>
    </row>
    <row r="7" spans="1:48" x14ac:dyDescent="0.25">
      <c r="A7" s="166" t="s">
        <v>53</v>
      </c>
      <c r="B7" s="166"/>
      <c r="C7" s="166"/>
      <c r="D7" s="166"/>
      <c r="E7" s="166"/>
      <c r="F7" s="166"/>
      <c r="G7" s="166"/>
      <c r="H7" s="166"/>
      <c r="I7" s="166"/>
      <c r="J7" s="166"/>
      <c r="K7" s="166"/>
    </row>
    <row r="9" spans="1:48" x14ac:dyDescent="0.25">
      <c r="B9" s="164" t="s">
        <v>268</v>
      </c>
      <c r="C9" s="164"/>
      <c r="D9" s="164"/>
      <c r="E9" s="164"/>
      <c r="F9" s="164"/>
      <c r="G9" s="164"/>
      <c r="H9" s="164"/>
      <c r="I9" s="164"/>
      <c r="J9" s="164"/>
      <c r="K9" s="164"/>
    </row>
    <row r="10" spans="1:48" x14ac:dyDescent="0.25">
      <c r="F10" s="6"/>
      <c r="J10" s="7"/>
    </row>
    <row r="11" spans="1:48" x14ac:dyDescent="0.25">
      <c r="B11" s="3" t="s">
        <v>208</v>
      </c>
      <c r="E11" s="113">
        <v>3</v>
      </c>
      <c r="F11" s="6"/>
      <c r="J11" s="7"/>
    </row>
    <row r="12" spans="1:48" x14ac:dyDescent="0.25">
      <c r="B12" s="3" t="s">
        <v>209</v>
      </c>
      <c r="E12" s="114">
        <v>500</v>
      </c>
      <c r="F12" s="6"/>
      <c r="J12" s="7"/>
    </row>
    <row r="13" spans="1:48" x14ac:dyDescent="0.25">
      <c r="B13" s="3" t="s">
        <v>210</v>
      </c>
      <c r="E13" s="115">
        <v>7.0000000000000007E-2</v>
      </c>
      <c r="F13" s="6"/>
      <c r="J13" s="7"/>
    </row>
    <row r="15" spans="1:48" x14ac:dyDescent="0.25">
      <c r="B15" s="3" t="s">
        <v>51</v>
      </c>
      <c r="F15" s="118">
        <f>E12*(1+E13)^E11</f>
        <v>612.52150000000006</v>
      </c>
    </row>
    <row r="17" spans="1:12" ht="47.25" customHeight="1" x14ac:dyDescent="0.25">
      <c r="A17" s="164" t="s">
        <v>52</v>
      </c>
      <c r="B17" s="164"/>
      <c r="C17" s="164"/>
      <c r="D17" s="164"/>
      <c r="E17" s="164"/>
      <c r="F17" s="164"/>
      <c r="G17" s="164"/>
      <c r="H17" s="164"/>
      <c r="I17" s="164"/>
      <c r="J17" s="164"/>
      <c r="K17" s="164"/>
      <c r="L17" s="2"/>
    </row>
    <row r="18" spans="1:12" x14ac:dyDescent="0.25">
      <c r="L18" s="9"/>
    </row>
    <row r="19" spans="1:12" x14ac:dyDescent="0.25">
      <c r="B19" s="3" t="s">
        <v>209</v>
      </c>
      <c r="D19" s="116">
        <v>500</v>
      </c>
      <c r="L19" s="9"/>
    </row>
    <row r="20" spans="1:12" x14ac:dyDescent="0.25">
      <c r="B20" s="3" t="s">
        <v>210</v>
      </c>
      <c r="D20" s="117">
        <v>0.1</v>
      </c>
      <c r="L20" s="9"/>
    </row>
    <row r="21" spans="1:12" x14ac:dyDescent="0.25">
      <c r="D21" s="5"/>
      <c r="L21" s="9"/>
    </row>
    <row r="22" spans="1:12" ht="31.5" customHeight="1" x14ac:dyDescent="0.25">
      <c r="A22" s="164" t="s">
        <v>192</v>
      </c>
      <c r="B22" s="164"/>
      <c r="C22" s="164"/>
      <c r="D22" s="164"/>
      <c r="E22" s="164"/>
      <c r="F22" s="164"/>
      <c r="G22" s="164"/>
      <c r="H22" s="164"/>
      <c r="I22" s="164"/>
      <c r="J22" s="164"/>
      <c r="K22" s="164"/>
    </row>
    <row r="24" spans="1:12" ht="63" x14ac:dyDescent="0.25">
      <c r="B24" s="36" t="s">
        <v>1</v>
      </c>
      <c r="C24" s="37" t="s">
        <v>2</v>
      </c>
      <c r="D24" s="37" t="s">
        <v>3</v>
      </c>
      <c r="E24" s="37" t="s">
        <v>4</v>
      </c>
      <c r="F24" s="37" t="s">
        <v>5</v>
      </c>
      <c r="G24" s="37" t="s">
        <v>6</v>
      </c>
      <c r="H24" s="38" t="s">
        <v>8</v>
      </c>
    </row>
    <row r="25" spans="1:12" x14ac:dyDescent="0.25">
      <c r="B25" s="39">
        <v>1</v>
      </c>
      <c r="C25" s="119">
        <f>D19</f>
        <v>500</v>
      </c>
      <c r="D25" s="119">
        <f>$D$19*$D$20</f>
        <v>50</v>
      </c>
      <c r="E25" s="119">
        <f>F25-D25</f>
        <v>0</v>
      </c>
      <c r="F25" s="119">
        <f>G25-C25</f>
        <v>50</v>
      </c>
      <c r="G25" s="119">
        <f>C25*(1+$D$20)</f>
        <v>550</v>
      </c>
      <c r="H25" s="120">
        <f>C25+D25</f>
        <v>550</v>
      </c>
    </row>
    <row r="26" spans="1:12" x14ac:dyDescent="0.25">
      <c r="B26" s="39">
        <v>2</v>
      </c>
      <c r="C26" s="121">
        <f>G25</f>
        <v>550</v>
      </c>
      <c r="D26" s="121">
        <f>$D$19*$D$20</f>
        <v>50</v>
      </c>
      <c r="E26" s="121">
        <f>F26-D26</f>
        <v>5</v>
      </c>
      <c r="F26" s="121">
        <f>G26-C26</f>
        <v>55</v>
      </c>
      <c r="G26" s="121">
        <f>C26*(1+$D$20)</f>
        <v>605</v>
      </c>
      <c r="H26" s="122">
        <f>H25+D26</f>
        <v>600</v>
      </c>
    </row>
    <row r="27" spans="1:12" x14ac:dyDescent="0.25">
      <c r="B27" s="39">
        <v>3</v>
      </c>
      <c r="C27" s="121">
        <f>G26</f>
        <v>605</v>
      </c>
      <c r="D27" s="121">
        <f>$D$19*$D$20</f>
        <v>50</v>
      </c>
      <c r="E27" s="121">
        <f>F27-D27</f>
        <v>10.5</v>
      </c>
      <c r="F27" s="121">
        <f>G27-C27</f>
        <v>60.5</v>
      </c>
      <c r="G27" s="121">
        <f>C27*(1+$D$20)</f>
        <v>665.5</v>
      </c>
      <c r="H27" s="122">
        <f>H26+D27</f>
        <v>650</v>
      </c>
    </row>
    <row r="28" spans="1:12" x14ac:dyDescent="0.25">
      <c r="B28" s="39">
        <v>4</v>
      </c>
      <c r="C28" s="121">
        <f>G27</f>
        <v>665.5</v>
      </c>
      <c r="D28" s="121">
        <f>$D$19*$D$20</f>
        <v>50</v>
      </c>
      <c r="E28" s="121">
        <f>F28-D28</f>
        <v>16.550000000000068</v>
      </c>
      <c r="F28" s="121">
        <f>G28-C28</f>
        <v>66.550000000000068</v>
      </c>
      <c r="G28" s="121">
        <f>C28*(1+$D$20)</f>
        <v>732.05000000000007</v>
      </c>
      <c r="H28" s="122">
        <f>H27+D28</f>
        <v>700</v>
      </c>
    </row>
    <row r="29" spans="1:12" x14ac:dyDescent="0.25">
      <c r="B29" s="39">
        <v>5</v>
      </c>
      <c r="C29" s="121">
        <f>G28</f>
        <v>732.05000000000007</v>
      </c>
      <c r="D29" s="123">
        <f>$D$19*$D$20</f>
        <v>50</v>
      </c>
      <c r="E29" s="123">
        <f>F29-D29</f>
        <v>23.205000000000041</v>
      </c>
      <c r="F29" s="123">
        <f>G29-C29</f>
        <v>73.205000000000041</v>
      </c>
      <c r="G29" s="121">
        <f>C29*(1+$D$20)</f>
        <v>805.25500000000011</v>
      </c>
      <c r="H29" s="122">
        <f>H28+D29</f>
        <v>750</v>
      </c>
    </row>
    <row r="30" spans="1:12" x14ac:dyDescent="0.25">
      <c r="B30" s="40" t="s">
        <v>9</v>
      </c>
      <c r="C30" s="124"/>
      <c r="D30" s="125">
        <f>SUM(D25:D29)</f>
        <v>250</v>
      </c>
      <c r="E30" s="125">
        <f>SUM(E25:E29)</f>
        <v>55.255000000000109</v>
      </c>
      <c r="F30" s="125">
        <f>SUM(F25:F29)</f>
        <v>305.25500000000011</v>
      </c>
      <c r="G30" s="125"/>
      <c r="H30" s="126"/>
    </row>
    <row r="32" spans="1:12" ht="31.5" customHeight="1" x14ac:dyDescent="0.25">
      <c r="A32" s="164" t="s">
        <v>186</v>
      </c>
      <c r="B32" s="164"/>
      <c r="C32" s="164"/>
      <c r="D32" s="164"/>
      <c r="E32" s="164"/>
      <c r="F32" s="164"/>
      <c r="G32" s="164"/>
      <c r="H32" s="164"/>
      <c r="I32" s="164"/>
      <c r="J32" s="164"/>
      <c r="K32" s="164"/>
    </row>
    <row r="34" spans="1:48" ht="47.25" x14ac:dyDescent="0.25">
      <c r="B34" s="41" t="s">
        <v>1</v>
      </c>
      <c r="C34" s="37" t="s">
        <v>10</v>
      </c>
      <c r="D34" s="38" t="s">
        <v>11</v>
      </c>
      <c r="AV34" s="2"/>
    </row>
    <row r="35" spans="1:48" x14ac:dyDescent="0.25">
      <c r="B35" s="42">
        <v>1</v>
      </c>
      <c r="C35" s="119">
        <f>C25+D25</f>
        <v>550</v>
      </c>
      <c r="D35" s="120">
        <f>G25-C35</f>
        <v>0</v>
      </c>
      <c r="AV35" s="2"/>
    </row>
    <row r="36" spans="1:48" x14ac:dyDescent="0.25">
      <c r="B36" s="42">
        <v>2</v>
      </c>
      <c r="C36" s="119">
        <f>C35+D26</f>
        <v>600</v>
      </c>
      <c r="D36" s="120">
        <f>G26-C36</f>
        <v>5</v>
      </c>
      <c r="AV36" s="2"/>
    </row>
    <row r="37" spans="1:48" x14ac:dyDescent="0.25">
      <c r="B37" s="42">
        <v>3</v>
      </c>
      <c r="C37" s="119">
        <f>C36+D27</f>
        <v>650</v>
      </c>
      <c r="D37" s="120">
        <f>G27-C37</f>
        <v>15.5</v>
      </c>
      <c r="AV37" s="2"/>
    </row>
    <row r="38" spans="1:48" x14ac:dyDescent="0.25">
      <c r="B38" s="42">
        <v>4</v>
      </c>
      <c r="C38" s="119">
        <f>C37+D28</f>
        <v>700</v>
      </c>
      <c r="D38" s="120">
        <f>G28-C38</f>
        <v>32.050000000000068</v>
      </c>
      <c r="AV38" s="2"/>
    </row>
    <row r="39" spans="1:48" x14ac:dyDescent="0.25">
      <c r="B39" s="43">
        <v>5</v>
      </c>
      <c r="C39" s="125">
        <f>C38+D29</f>
        <v>750</v>
      </c>
      <c r="D39" s="127">
        <f>G29-C39</f>
        <v>55.255000000000109</v>
      </c>
      <c r="AV39" s="2"/>
    </row>
    <row r="41" spans="1:48" x14ac:dyDescent="0.25">
      <c r="A41" s="164" t="s">
        <v>34</v>
      </c>
      <c r="B41" s="164"/>
      <c r="C41" s="164"/>
      <c r="D41" s="164"/>
      <c r="E41" s="164"/>
      <c r="F41" s="164"/>
      <c r="G41" s="164"/>
      <c r="H41" s="164"/>
      <c r="I41" s="164"/>
      <c r="J41" s="164"/>
      <c r="K41" s="164"/>
    </row>
    <row r="62" spans="1:15" x14ac:dyDescent="0.25">
      <c r="A62" s="164" t="s">
        <v>30</v>
      </c>
      <c r="B62" s="164"/>
      <c r="C62" s="164"/>
      <c r="D62" s="164"/>
      <c r="E62" s="164"/>
      <c r="F62" s="164"/>
      <c r="G62" s="164"/>
      <c r="H62" s="164"/>
      <c r="I62" s="164"/>
      <c r="J62" s="164"/>
      <c r="K62" s="164"/>
    </row>
    <row r="64" spans="1:15" s="15" customFormat="1" x14ac:dyDescent="0.25">
      <c r="A64" s="11" t="s">
        <v>7</v>
      </c>
      <c r="B64" s="12"/>
      <c r="C64" s="12"/>
      <c r="D64" s="12"/>
      <c r="E64" s="13"/>
      <c r="F64" s="12"/>
      <c r="G64" s="12"/>
      <c r="H64" s="12"/>
      <c r="I64" s="12"/>
      <c r="J64" s="12"/>
      <c r="K64" s="12"/>
      <c r="L64" s="12"/>
      <c r="M64" s="12"/>
      <c r="N64" s="12"/>
      <c r="O64" s="14"/>
    </row>
    <row r="65" spans="1:48" s="15" customFormat="1" ht="31.5" customHeight="1" x14ac:dyDescent="0.25">
      <c r="A65" s="165" t="s">
        <v>180</v>
      </c>
      <c r="B65" s="165"/>
      <c r="C65" s="165"/>
      <c r="D65" s="165"/>
      <c r="E65" s="165"/>
      <c r="F65" s="165"/>
      <c r="G65" s="165"/>
      <c r="H65" s="165"/>
      <c r="I65" s="165"/>
      <c r="J65" s="165"/>
      <c r="K65" s="165"/>
      <c r="L65" s="12"/>
      <c r="M65" s="12"/>
      <c r="N65" s="12"/>
      <c r="O65" s="14"/>
    </row>
    <row r="66" spans="1:48" s="14" customFormat="1" x14ac:dyDescent="0.25"/>
    <row r="68" spans="1:48" ht="31.5" customHeight="1" x14ac:dyDescent="0.25">
      <c r="A68" s="164" t="s">
        <v>193</v>
      </c>
      <c r="B68" s="164"/>
      <c r="C68" s="164"/>
      <c r="D68" s="164"/>
      <c r="E68" s="164"/>
      <c r="F68" s="164"/>
      <c r="G68" s="164"/>
      <c r="H68" s="164"/>
      <c r="I68" s="164"/>
      <c r="J68" s="164"/>
      <c r="K68" s="164"/>
    </row>
    <row r="70" spans="1:48" x14ac:dyDescent="0.25">
      <c r="B70" s="41" t="s">
        <v>20</v>
      </c>
      <c r="C70" s="167" t="s">
        <v>12</v>
      </c>
      <c r="D70" s="167"/>
      <c r="E70" s="167"/>
      <c r="F70" s="167"/>
      <c r="G70" s="168"/>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x14ac:dyDescent="0.25">
      <c r="B71" s="44" t="s">
        <v>21</v>
      </c>
      <c r="C71" s="132">
        <v>0</v>
      </c>
      <c r="D71" s="132">
        <v>0.05</v>
      </c>
      <c r="E71" s="132">
        <v>0.1</v>
      </c>
      <c r="F71" s="132">
        <v>0.15</v>
      </c>
      <c r="G71" s="133">
        <v>0.2</v>
      </c>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x14ac:dyDescent="0.25">
      <c r="B72" s="134">
        <v>0</v>
      </c>
      <c r="C72" s="128">
        <f t="shared" ref="C72:G72" si="0">(1+$C$71)^B72</f>
        <v>1</v>
      </c>
      <c r="D72" s="128">
        <f t="shared" si="0"/>
        <v>1</v>
      </c>
      <c r="E72" s="128">
        <f t="shared" si="0"/>
        <v>1</v>
      </c>
      <c r="F72" s="128">
        <f t="shared" si="0"/>
        <v>1</v>
      </c>
      <c r="G72" s="129">
        <f t="shared" si="0"/>
        <v>1</v>
      </c>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x14ac:dyDescent="0.25">
      <c r="B73" s="135">
        <v>1</v>
      </c>
      <c r="C73" s="128">
        <f>(1+$C$71)^B73</f>
        <v>1</v>
      </c>
      <c r="D73" s="128">
        <f>(1+$D$71)^B73</f>
        <v>1.05</v>
      </c>
      <c r="E73" s="128">
        <f>(1+$E$71)^B73</f>
        <v>1.1000000000000001</v>
      </c>
      <c r="F73" s="128">
        <f>(1+$F$71)^B73</f>
        <v>1.1499999999999999</v>
      </c>
      <c r="G73" s="129">
        <f>(1+$G$71)^B73</f>
        <v>1.2</v>
      </c>
    </row>
    <row r="74" spans="1:48" x14ac:dyDescent="0.25">
      <c r="B74" s="135">
        <v>2</v>
      </c>
      <c r="C74" s="128">
        <f t="shared" ref="C74:C82" si="1">(1+$C$71)^B74</f>
        <v>1</v>
      </c>
      <c r="D74" s="128">
        <f t="shared" ref="D74:D82" si="2">(1+$D$71)^B74</f>
        <v>1.1025</v>
      </c>
      <c r="E74" s="128">
        <f t="shared" ref="E74:E82" si="3">(1+$E$71)^B74</f>
        <v>1.2100000000000002</v>
      </c>
      <c r="F74" s="128">
        <f t="shared" ref="F74:F82" si="4">(1+$F$71)^B74</f>
        <v>1.3224999999999998</v>
      </c>
      <c r="G74" s="129">
        <f t="shared" ref="G74:G82" si="5">(1+$G$71)^B74</f>
        <v>1.44</v>
      </c>
    </row>
    <row r="75" spans="1:48" x14ac:dyDescent="0.25">
      <c r="B75" s="135">
        <v>3</v>
      </c>
      <c r="C75" s="128">
        <f t="shared" si="1"/>
        <v>1</v>
      </c>
      <c r="D75" s="128">
        <f t="shared" si="2"/>
        <v>1.1576250000000001</v>
      </c>
      <c r="E75" s="128">
        <f t="shared" si="3"/>
        <v>1.3310000000000004</v>
      </c>
      <c r="F75" s="128">
        <f t="shared" si="4"/>
        <v>1.5208749999999995</v>
      </c>
      <c r="G75" s="129">
        <f t="shared" si="5"/>
        <v>1.728</v>
      </c>
    </row>
    <row r="76" spans="1:48" x14ac:dyDescent="0.25">
      <c r="B76" s="135">
        <v>4</v>
      </c>
      <c r="C76" s="128">
        <f t="shared" si="1"/>
        <v>1</v>
      </c>
      <c r="D76" s="128">
        <f t="shared" si="2"/>
        <v>1.21550625</v>
      </c>
      <c r="E76" s="128">
        <f t="shared" si="3"/>
        <v>1.4641000000000004</v>
      </c>
      <c r="F76" s="128">
        <f t="shared" si="4"/>
        <v>1.7490062499999994</v>
      </c>
      <c r="G76" s="129">
        <f t="shared" si="5"/>
        <v>2.0735999999999999</v>
      </c>
    </row>
    <row r="77" spans="1:48" x14ac:dyDescent="0.25">
      <c r="B77" s="135">
        <v>5</v>
      </c>
      <c r="C77" s="128">
        <f t="shared" si="1"/>
        <v>1</v>
      </c>
      <c r="D77" s="128">
        <f t="shared" si="2"/>
        <v>1.2762815625000001</v>
      </c>
      <c r="E77" s="128">
        <f t="shared" si="3"/>
        <v>1.6105100000000006</v>
      </c>
      <c r="F77" s="128">
        <f t="shared" si="4"/>
        <v>2.0113571874999994</v>
      </c>
      <c r="G77" s="129">
        <f t="shared" si="5"/>
        <v>2.4883199999999999</v>
      </c>
    </row>
    <row r="78" spans="1:48" x14ac:dyDescent="0.25">
      <c r="B78" s="135">
        <v>6</v>
      </c>
      <c r="C78" s="128">
        <f t="shared" si="1"/>
        <v>1</v>
      </c>
      <c r="D78" s="128">
        <f t="shared" si="2"/>
        <v>1.340095640625</v>
      </c>
      <c r="E78" s="128">
        <f t="shared" si="3"/>
        <v>1.7715610000000008</v>
      </c>
      <c r="F78" s="128">
        <f t="shared" si="4"/>
        <v>2.3130607656249991</v>
      </c>
      <c r="G78" s="129">
        <f t="shared" si="5"/>
        <v>2.9859839999999997</v>
      </c>
    </row>
    <row r="79" spans="1:48" x14ac:dyDescent="0.25">
      <c r="B79" s="135">
        <v>7</v>
      </c>
      <c r="C79" s="128">
        <f t="shared" si="1"/>
        <v>1</v>
      </c>
      <c r="D79" s="128">
        <f t="shared" si="2"/>
        <v>1.4071004226562502</v>
      </c>
      <c r="E79" s="128">
        <f t="shared" si="3"/>
        <v>1.9487171000000012</v>
      </c>
      <c r="F79" s="128">
        <f t="shared" si="4"/>
        <v>2.6600198804687483</v>
      </c>
      <c r="G79" s="129">
        <f t="shared" si="5"/>
        <v>3.5831807999999996</v>
      </c>
    </row>
    <row r="80" spans="1:48" x14ac:dyDescent="0.25">
      <c r="B80" s="135">
        <v>8</v>
      </c>
      <c r="C80" s="128">
        <f t="shared" si="1"/>
        <v>1</v>
      </c>
      <c r="D80" s="128">
        <f t="shared" si="2"/>
        <v>1.4774554437890626</v>
      </c>
      <c r="E80" s="128">
        <f t="shared" si="3"/>
        <v>2.1435888100000011</v>
      </c>
      <c r="F80" s="128">
        <f t="shared" si="4"/>
        <v>3.0590228625390603</v>
      </c>
      <c r="G80" s="129">
        <f t="shared" si="5"/>
        <v>4.2998169599999994</v>
      </c>
    </row>
    <row r="81" spans="1:11" x14ac:dyDescent="0.25">
      <c r="B81" s="135">
        <v>9</v>
      </c>
      <c r="C81" s="128">
        <f t="shared" si="1"/>
        <v>1</v>
      </c>
      <c r="D81" s="128">
        <f t="shared" si="2"/>
        <v>1.5513282159785158</v>
      </c>
      <c r="E81" s="128">
        <f t="shared" si="3"/>
        <v>2.3579476910000015</v>
      </c>
      <c r="F81" s="128">
        <f t="shared" si="4"/>
        <v>3.5178762919199191</v>
      </c>
      <c r="G81" s="129">
        <f t="shared" si="5"/>
        <v>5.1597803519999994</v>
      </c>
    </row>
    <row r="82" spans="1:11" x14ac:dyDescent="0.25">
      <c r="B82" s="136">
        <v>10</v>
      </c>
      <c r="C82" s="130">
        <f t="shared" si="1"/>
        <v>1</v>
      </c>
      <c r="D82" s="130">
        <f t="shared" si="2"/>
        <v>1.6288946267774416</v>
      </c>
      <c r="E82" s="130">
        <f t="shared" si="3"/>
        <v>2.5937424601000019</v>
      </c>
      <c r="F82" s="130">
        <f t="shared" si="4"/>
        <v>4.0455577357079067</v>
      </c>
      <c r="G82" s="131">
        <f t="shared" si="5"/>
        <v>6.1917364223999991</v>
      </c>
    </row>
    <row r="84" spans="1:11" ht="31.5" customHeight="1" x14ac:dyDescent="0.25">
      <c r="A84" s="164" t="s">
        <v>39</v>
      </c>
      <c r="B84" s="164"/>
      <c r="C84" s="164"/>
      <c r="D84" s="164"/>
      <c r="E84" s="164"/>
      <c r="F84" s="164"/>
      <c r="G84" s="164"/>
      <c r="H84" s="164"/>
      <c r="I84" s="164"/>
      <c r="J84" s="164"/>
      <c r="K84" s="164"/>
    </row>
    <row r="106" spans="1:48" s="15" customFormat="1" x14ac:dyDescent="0.25">
      <c r="A106" s="11" t="s">
        <v>7</v>
      </c>
      <c r="B106" s="12"/>
      <c r="C106" s="12"/>
      <c r="D106" s="12"/>
      <c r="E106" s="13"/>
      <c r="F106" s="12"/>
      <c r="G106" s="12"/>
      <c r="H106" s="12"/>
      <c r="I106" s="12"/>
      <c r="J106" s="12"/>
      <c r="K106" s="12"/>
      <c r="L106" s="12"/>
      <c r="M106" s="12"/>
      <c r="N106" s="12"/>
      <c r="O106" s="14"/>
    </row>
    <row r="107" spans="1:48" s="15" customFormat="1" ht="110.25" customHeight="1" x14ac:dyDescent="0.25">
      <c r="A107" s="165" t="s">
        <v>269</v>
      </c>
      <c r="B107" s="165"/>
      <c r="C107" s="165"/>
      <c r="D107" s="165"/>
      <c r="E107" s="165"/>
      <c r="F107" s="165"/>
      <c r="G107" s="165"/>
      <c r="H107" s="165"/>
      <c r="I107" s="165"/>
      <c r="J107" s="165"/>
      <c r="K107" s="165"/>
      <c r="L107" s="12"/>
      <c r="M107" s="12"/>
      <c r="N107" s="12"/>
      <c r="O107" s="14"/>
    </row>
    <row r="108" spans="1:48" s="15" customFormat="1"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row>
    <row r="110" spans="1:48" ht="31.5" customHeight="1" x14ac:dyDescent="0.25">
      <c r="A110" s="164" t="s">
        <v>40</v>
      </c>
      <c r="B110" s="164"/>
      <c r="C110" s="164"/>
      <c r="D110" s="164"/>
      <c r="E110" s="164"/>
      <c r="F110" s="164"/>
      <c r="G110" s="164"/>
      <c r="H110" s="164"/>
      <c r="I110" s="164"/>
      <c r="J110" s="164"/>
      <c r="K110" s="164"/>
    </row>
    <row r="112" spans="1:48" x14ac:dyDescent="0.25">
      <c r="B112" s="3" t="s">
        <v>210</v>
      </c>
      <c r="D112" s="117">
        <v>0.12</v>
      </c>
    </row>
    <row r="113" spans="1:48" x14ac:dyDescent="0.25">
      <c r="B113" s="3" t="s">
        <v>212</v>
      </c>
      <c r="D113" s="113">
        <v>3</v>
      </c>
    </row>
    <row r="114" spans="1:48" x14ac:dyDescent="0.25">
      <c r="B114" s="3" t="s">
        <v>209</v>
      </c>
      <c r="D114" s="114">
        <v>400</v>
      </c>
    </row>
    <row r="116" spans="1:48" x14ac:dyDescent="0.25">
      <c r="A116" s="164" t="s">
        <v>22</v>
      </c>
      <c r="B116" s="164"/>
      <c r="C116" s="164"/>
      <c r="D116" s="164"/>
      <c r="E116" s="164"/>
      <c r="F116" s="164"/>
      <c r="G116" s="164"/>
      <c r="H116" s="164"/>
      <c r="I116" s="164"/>
      <c r="J116" s="164"/>
      <c r="K116" s="164"/>
    </row>
    <row r="118" spans="1:48" x14ac:dyDescent="0.25">
      <c r="B118" s="3" t="s">
        <v>213</v>
      </c>
      <c r="D118" s="118">
        <f>FV(D112,D113,,-D114)</f>
        <v>561.97120000000018</v>
      </c>
    </row>
    <row r="120" spans="1:48" s="15" customFormat="1" x14ac:dyDescent="0.25">
      <c r="A120" s="11" t="s">
        <v>7</v>
      </c>
      <c r="B120" s="12"/>
      <c r="C120" s="12"/>
      <c r="D120" s="12"/>
      <c r="E120" s="13"/>
      <c r="F120" s="12"/>
      <c r="G120" s="12"/>
      <c r="H120" s="12"/>
      <c r="I120" s="12"/>
      <c r="J120" s="12"/>
      <c r="K120" s="12"/>
      <c r="L120" s="12"/>
      <c r="M120" s="12"/>
      <c r="N120" s="12"/>
      <c r="O120" s="14"/>
    </row>
    <row r="121" spans="1:48" s="15" customFormat="1" x14ac:dyDescent="0.25">
      <c r="A121" s="165" t="s">
        <v>23</v>
      </c>
      <c r="B121" s="165"/>
      <c r="C121" s="165"/>
      <c r="D121" s="165"/>
      <c r="E121" s="165"/>
      <c r="F121" s="165"/>
      <c r="G121" s="165"/>
      <c r="H121" s="165"/>
      <c r="I121" s="165"/>
      <c r="J121" s="165"/>
      <c r="K121" s="165"/>
      <c r="L121" s="12"/>
      <c r="M121" s="12"/>
      <c r="N121" s="12"/>
      <c r="O121" s="14"/>
    </row>
    <row r="122" spans="1:48" s="14" customFormat="1" x14ac:dyDescent="0.25"/>
    <row r="123" spans="1:48" s="14" customFormat="1" x14ac:dyDescent="0.25"/>
    <row r="124" spans="1:48" s="15" customFormat="1"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row>
    <row r="125" spans="1:48" s="15" customFormat="1"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row>
    <row r="126" spans="1:48" s="15" customFormat="1"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row>
    <row r="127" spans="1:48" s="15" customFormat="1"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row>
    <row r="128" spans="1:48" s="15" customFormat="1"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row>
    <row r="129" spans="1:48" s="15" customFormat="1"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row>
    <row r="130" spans="1:48" s="15" customFormat="1"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row>
    <row r="131" spans="1:48" s="15" customFormat="1"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row>
    <row r="132" spans="1:48" s="15" customFormat="1"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row>
    <row r="133" spans="1:48" s="15" customFormat="1"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row>
    <row r="134" spans="1:48" s="15" customFormat="1"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row>
    <row r="135" spans="1:48" s="15" customFormat="1"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row>
    <row r="136" spans="1:48" s="15" customFormat="1"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row>
    <row r="137" spans="1:48" s="15" customFormat="1"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row>
    <row r="138" spans="1:48" s="15" customFormat="1"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row>
    <row r="139" spans="1:48" s="15" customFormat="1" ht="63" customHeight="1" x14ac:dyDescent="0.25">
      <c r="A139" s="169" t="s">
        <v>187</v>
      </c>
      <c r="B139" s="169"/>
      <c r="C139" s="169"/>
      <c r="D139" s="169"/>
      <c r="E139" s="169"/>
      <c r="F139" s="169"/>
      <c r="G139" s="169"/>
      <c r="H139" s="169"/>
      <c r="I139" s="169"/>
      <c r="J139" s="169"/>
      <c r="K139" s="169"/>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row>
    <row r="140" spans="1:48" s="15" customFormat="1"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row>
    <row r="142" spans="1:48" x14ac:dyDescent="0.25">
      <c r="A142" s="166" t="s">
        <v>214</v>
      </c>
      <c r="B142" s="166"/>
      <c r="C142" s="166"/>
      <c r="D142" s="166"/>
      <c r="E142" s="166"/>
      <c r="F142" s="166"/>
      <c r="G142" s="166"/>
      <c r="H142" s="166"/>
      <c r="I142" s="166"/>
      <c r="J142" s="166"/>
      <c r="K142" s="166"/>
    </row>
    <row r="144" spans="1:48" ht="47.25" customHeight="1" x14ac:dyDescent="0.25">
      <c r="B144" s="164" t="s">
        <v>215</v>
      </c>
      <c r="C144" s="164"/>
      <c r="D144" s="164"/>
      <c r="E144" s="164"/>
      <c r="F144" s="164"/>
      <c r="G144" s="164"/>
      <c r="H144" s="164"/>
      <c r="I144" s="164"/>
      <c r="J144" s="164"/>
      <c r="K144" s="164"/>
    </row>
    <row r="146" spans="1:48" x14ac:dyDescent="0.25">
      <c r="B146" s="3" t="s">
        <v>216</v>
      </c>
      <c r="F146" s="114">
        <v>7200000</v>
      </c>
    </row>
    <row r="147" spans="1:48" x14ac:dyDescent="0.25">
      <c r="B147" s="3" t="s">
        <v>36</v>
      </c>
      <c r="F147" s="117">
        <v>0.1</v>
      </c>
    </row>
    <row r="148" spans="1:48" x14ac:dyDescent="0.25">
      <c r="B148" s="3" t="s">
        <v>217</v>
      </c>
      <c r="F148" s="113">
        <v>155</v>
      </c>
    </row>
    <row r="150" spans="1:48" x14ac:dyDescent="0.25">
      <c r="B150" s="3" t="s">
        <v>218</v>
      </c>
      <c r="D150" s="170">
        <f>FV(F147,F148,,-F146)</f>
        <v>18758525412210.762</v>
      </c>
      <c r="E150" s="170"/>
      <c r="F150" s="170"/>
    </row>
    <row r="152" spans="1:48" s="15" customFormat="1" x14ac:dyDescent="0.25">
      <c r="A152" s="11" t="s">
        <v>7</v>
      </c>
      <c r="B152" s="12"/>
      <c r="C152" s="12"/>
      <c r="D152" s="12"/>
      <c r="E152" s="13"/>
      <c r="F152" s="12"/>
      <c r="G152" s="12"/>
      <c r="H152" s="12"/>
      <c r="I152" s="12"/>
      <c r="J152" s="12"/>
      <c r="K152" s="12"/>
      <c r="L152" s="12"/>
      <c r="M152" s="12"/>
      <c r="N152" s="12"/>
      <c r="O152" s="14"/>
    </row>
    <row r="153" spans="1:48" s="15" customFormat="1" ht="78.75" customHeight="1" x14ac:dyDescent="0.25">
      <c r="A153" s="165" t="s">
        <v>194</v>
      </c>
      <c r="B153" s="165"/>
      <c r="C153" s="165"/>
      <c r="D153" s="165"/>
      <c r="E153" s="165"/>
      <c r="F153" s="165"/>
      <c r="G153" s="165"/>
      <c r="H153" s="165"/>
      <c r="I153" s="165"/>
      <c r="J153" s="165"/>
      <c r="K153" s="165"/>
      <c r="L153" s="12"/>
      <c r="M153" s="12"/>
      <c r="N153" s="12"/>
      <c r="O153" s="14"/>
    </row>
    <row r="154" spans="1:48" s="15" customFormat="1"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4"/>
      <c r="AP154" s="14"/>
      <c r="AQ154" s="14"/>
      <c r="AR154" s="14"/>
      <c r="AS154" s="14"/>
      <c r="AT154" s="14"/>
      <c r="AU154" s="14"/>
      <c r="AV154" s="14"/>
    </row>
    <row r="155" spans="1:48" s="15" customFormat="1" x14ac:dyDescent="0.25">
      <c r="A155" s="169" t="s">
        <v>38</v>
      </c>
      <c r="B155" s="169"/>
      <c r="C155" s="169"/>
      <c r="D155" s="169"/>
      <c r="E155" s="169"/>
      <c r="F155" s="169"/>
      <c r="G155" s="169"/>
      <c r="H155" s="169"/>
      <c r="I155" s="169"/>
      <c r="J155" s="169"/>
      <c r="K155" s="169"/>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row>
    <row r="156" spans="1:48" s="15" customFormat="1"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4"/>
      <c r="AP156" s="14"/>
      <c r="AQ156" s="14"/>
      <c r="AR156" s="14"/>
      <c r="AS156" s="14"/>
      <c r="AT156" s="14"/>
      <c r="AU156" s="14"/>
      <c r="AV156" s="14"/>
    </row>
    <row r="158" spans="1:48" x14ac:dyDescent="0.25">
      <c r="A158" s="166" t="s">
        <v>24</v>
      </c>
      <c r="B158" s="166"/>
      <c r="C158" s="166"/>
      <c r="D158" s="166"/>
    </row>
    <row r="159" spans="1:48" s="3" customFormat="1" ht="31.5" customHeight="1" x14ac:dyDescent="0.25">
      <c r="A159" s="164" t="s">
        <v>44</v>
      </c>
      <c r="B159" s="164"/>
      <c r="C159" s="164"/>
      <c r="D159" s="164"/>
      <c r="E159" s="164"/>
      <c r="F159" s="164"/>
      <c r="G159" s="164"/>
      <c r="H159" s="164"/>
      <c r="I159" s="164"/>
      <c r="J159" s="164"/>
      <c r="K159" s="164"/>
    </row>
    <row r="160" spans="1:48" s="3" customFormat="1" x14ac:dyDescent="0.25"/>
    <row r="161" spans="1:14" s="3" customFormat="1" x14ac:dyDescent="0.25">
      <c r="A161" s="166" t="s">
        <v>54</v>
      </c>
      <c r="B161" s="166"/>
      <c r="C161" s="166"/>
      <c r="D161" s="166"/>
      <c r="E161" s="166"/>
    </row>
    <row r="162" spans="1:14" s="3" customFormat="1" x14ac:dyDescent="0.25"/>
    <row r="163" spans="1:14" s="3" customFormat="1" x14ac:dyDescent="0.25">
      <c r="B163" s="3" t="s">
        <v>55</v>
      </c>
    </row>
    <row r="164" spans="1:14" s="3" customFormat="1" x14ac:dyDescent="0.25"/>
    <row r="165" spans="1:14" s="3" customFormat="1" x14ac:dyDescent="0.25">
      <c r="B165" s="3" t="s">
        <v>213</v>
      </c>
      <c r="D165" s="114">
        <v>10000</v>
      </c>
    </row>
    <row r="166" spans="1:14" s="3" customFormat="1" x14ac:dyDescent="0.25">
      <c r="B166" s="3" t="s">
        <v>208</v>
      </c>
      <c r="D166" s="113">
        <v>3</v>
      </c>
    </row>
    <row r="167" spans="1:14" s="3" customFormat="1" x14ac:dyDescent="0.25">
      <c r="B167" s="3" t="s">
        <v>36</v>
      </c>
      <c r="D167" s="117">
        <v>0.08</v>
      </c>
    </row>
    <row r="168" spans="1:14" s="3" customFormat="1" x14ac:dyDescent="0.25"/>
    <row r="169" spans="1:14" s="3" customFormat="1" x14ac:dyDescent="0.25">
      <c r="B169" s="3" t="s">
        <v>219</v>
      </c>
      <c r="D169" s="118">
        <f>PV(D167,D166,,-D165)</f>
        <v>7938.3224102016957</v>
      </c>
    </row>
    <row r="170" spans="1:14" s="3" customFormat="1" x14ac:dyDescent="0.25"/>
    <row r="171" spans="1:14" s="14" customFormat="1" x14ac:dyDescent="0.25">
      <c r="A171" s="29" t="s">
        <v>7</v>
      </c>
      <c r="B171" s="12"/>
      <c r="C171" s="12"/>
      <c r="D171" s="12"/>
      <c r="E171" s="13"/>
      <c r="F171" s="12"/>
      <c r="G171" s="12"/>
      <c r="H171" s="12"/>
      <c r="I171" s="12"/>
      <c r="J171" s="12"/>
      <c r="K171" s="12"/>
      <c r="L171" s="12"/>
      <c r="M171" s="12"/>
      <c r="N171" s="12"/>
    </row>
    <row r="172" spans="1:14" s="14" customFormat="1" x14ac:dyDescent="0.25">
      <c r="A172" s="12" t="s">
        <v>26</v>
      </c>
      <c r="B172" s="12"/>
      <c r="C172" s="12"/>
      <c r="D172" s="12"/>
      <c r="E172" s="13"/>
      <c r="F172" s="12"/>
      <c r="G172" s="12"/>
      <c r="H172" s="12"/>
      <c r="I172" s="12"/>
      <c r="J172" s="12"/>
      <c r="K172" s="12"/>
      <c r="L172" s="12"/>
      <c r="M172" s="12"/>
      <c r="N172" s="12"/>
    </row>
    <row r="173" spans="1:14" s="14" customFormat="1" x14ac:dyDescent="0.25"/>
    <row r="174" spans="1:14" s="14" customFormat="1" x14ac:dyDescent="0.25"/>
    <row r="175" spans="1:14" s="14" customFormat="1" x14ac:dyDescent="0.25"/>
    <row r="176" spans="1:14" s="14" customFormat="1" x14ac:dyDescent="0.25"/>
    <row r="177" spans="1:11" s="14" customFormat="1" x14ac:dyDescent="0.25"/>
    <row r="178" spans="1:11" s="14" customFormat="1" x14ac:dyDescent="0.25"/>
    <row r="179" spans="1:11" s="14" customFormat="1" x14ac:dyDescent="0.25"/>
    <row r="180" spans="1:11" s="14" customFormat="1" x14ac:dyDescent="0.25"/>
    <row r="181" spans="1:11" s="14" customFormat="1" x14ac:dyDescent="0.25"/>
    <row r="182" spans="1:11" s="14" customFormat="1" x14ac:dyDescent="0.25"/>
    <row r="183" spans="1:11" s="14" customFormat="1" x14ac:dyDescent="0.25"/>
    <row r="184" spans="1:11" s="14" customFormat="1" x14ac:dyDescent="0.25"/>
    <row r="185" spans="1:11" s="14" customFormat="1" x14ac:dyDescent="0.25"/>
    <row r="186" spans="1:11" s="14" customFormat="1" x14ac:dyDescent="0.25"/>
    <row r="187" spans="1:11" s="14" customFormat="1" x14ac:dyDescent="0.25"/>
    <row r="188" spans="1:11" s="14" customFormat="1" x14ac:dyDescent="0.25"/>
    <row r="189" spans="1:11" s="14" customFormat="1" x14ac:dyDescent="0.25"/>
    <row r="190" spans="1:11" s="14" customFormat="1" ht="63" customHeight="1" x14ac:dyDescent="0.25">
      <c r="A190" s="169" t="s">
        <v>188</v>
      </c>
      <c r="B190" s="169"/>
      <c r="C190" s="169"/>
      <c r="D190" s="169"/>
      <c r="E190" s="169"/>
      <c r="F190" s="169"/>
      <c r="G190" s="169"/>
      <c r="H190" s="169"/>
      <c r="I190" s="169"/>
      <c r="J190" s="169"/>
      <c r="K190" s="169"/>
    </row>
    <row r="191" spans="1:11" s="14" customFormat="1" x14ac:dyDescent="0.25"/>
    <row r="192" spans="1:11" s="3" customFormat="1" x14ac:dyDescent="0.25"/>
    <row r="193" spans="1:14" s="3" customFormat="1" ht="31.5" customHeight="1" x14ac:dyDescent="0.25">
      <c r="A193" s="164" t="s">
        <v>45</v>
      </c>
      <c r="B193" s="164"/>
      <c r="C193" s="164"/>
      <c r="D193" s="164"/>
      <c r="E193" s="164"/>
      <c r="F193" s="164"/>
      <c r="G193" s="164"/>
      <c r="H193" s="164"/>
      <c r="I193" s="164"/>
      <c r="J193" s="164"/>
      <c r="K193" s="164"/>
    </row>
    <row r="194" spans="1:14" s="3" customFormat="1" x14ac:dyDescent="0.25"/>
    <row r="195" spans="1:14" s="3" customFormat="1" x14ac:dyDescent="0.25">
      <c r="B195" s="3" t="s">
        <v>213</v>
      </c>
      <c r="D195" s="114">
        <v>1</v>
      </c>
    </row>
    <row r="196" spans="1:14" s="3" customFormat="1" x14ac:dyDescent="0.25">
      <c r="B196" s="3" t="s">
        <v>208</v>
      </c>
      <c r="D196" s="113">
        <v>2</v>
      </c>
    </row>
    <row r="197" spans="1:14" s="3" customFormat="1" x14ac:dyDescent="0.25">
      <c r="B197" s="3" t="s">
        <v>36</v>
      </c>
      <c r="D197" s="117">
        <v>0.09</v>
      </c>
    </row>
    <row r="198" spans="1:14" s="3" customFormat="1" x14ac:dyDescent="0.25"/>
    <row r="199" spans="1:14" s="3" customFormat="1" x14ac:dyDescent="0.25">
      <c r="B199" s="3" t="s">
        <v>219</v>
      </c>
      <c r="D199" s="137">
        <f>PV(D197,D196,,-D195)</f>
        <v>0.84167999326655996</v>
      </c>
    </row>
    <row r="200" spans="1:14" s="3" customFormat="1" x14ac:dyDescent="0.25">
      <c r="D200" s="28"/>
    </row>
    <row r="201" spans="1:14" s="14" customFormat="1" x14ac:dyDescent="0.25">
      <c r="A201" s="11" t="s">
        <v>7</v>
      </c>
      <c r="B201" s="12"/>
      <c r="C201" s="12"/>
      <c r="D201" s="12"/>
      <c r="E201" s="13"/>
      <c r="F201" s="12"/>
      <c r="G201" s="12"/>
      <c r="H201" s="12"/>
      <c r="I201" s="12"/>
      <c r="J201" s="12"/>
      <c r="K201" s="12"/>
      <c r="L201" s="12"/>
      <c r="M201" s="12"/>
      <c r="N201" s="12"/>
    </row>
    <row r="202" spans="1:14" s="14" customFormat="1" ht="47.25" customHeight="1" x14ac:dyDescent="0.25">
      <c r="A202" s="165" t="s">
        <v>270</v>
      </c>
      <c r="B202" s="165"/>
      <c r="C202" s="165"/>
      <c r="D202" s="165"/>
      <c r="E202" s="165"/>
      <c r="F202" s="165"/>
      <c r="G202" s="165"/>
      <c r="H202" s="165"/>
      <c r="I202" s="165"/>
      <c r="J202" s="165"/>
      <c r="K202" s="165"/>
      <c r="L202" s="12"/>
      <c r="M202" s="12"/>
      <c r="N202" s="12"/>
    </row>
    <row r="203" spans="1:14" s="14" customFormat="1" x14ac:dyDescent="0.25"/>
    <row r="204" spans="1:14" s="14" customFormat="1" x14ac:dyDescent="0.25"/>
    <row r="205" spans="1:14" s="14" customFormat="1" x14ac:dyDescent="0.25"/>
    <row r="206" spans="1:14" s="14" customFormat="1" x14ac:dyDescent="0.25"/>
    <row r="207" spans="1:14" s="14" customFormat="1" x14ac:dyDescent="0.25"/>
    <row r="208" spans="1:14" s="14" customFormat="1" x14ac:dyDescent="0.25"/>
    <row r="209" spans="1:11" s="14" customFormat="1" x14ac:dyDescent="0.25"/>
    <row r="210" spans="1:11" s="14" customFormat="1" x14ac:dyDescent="0.25"/>
    <row r="211" spans="1:11" s="14" customFormat="1" ht="47.25" customHeight="1" x14ac:dyDescent="0.25">
      <c r="A211" s="169" t="s">
        <v>271</v>
      </c>
      <c r="B211" s="169"/>
      <c r="C211" s="169"/>
      <c r="D211" s="169"/>
      <c r="E211" s="169"/>
      <c r="F211" s="169"/>
      <c r="G211" s="169"/>
      <c r="H211" s="169"/>
      <c r="I211" s="169"/>
      <c r="J211" s="169"/>
      <c r="K211" s="169"/>
    </row>
    <row r="212" spans="1:11" s="14" customFormat="1" x14ac:dyDescent="0.25"/>
    <row r="213" spans="1:11" s="3" customFormat="1" x14ac:dyDescent="0.25">
      <c r="D213" s="28"/>
    </row>
    <row r="214" spans="1:11" s="3" customFormat="1" x14ac:dyDescent="0.25">
      <c r="B214" s="41"/>
      <c r="C214" s="167" t="s">
        <v>12</v>
      </c>
      <c r="D214" s="167"/>
      <c r="E214" s="167"/>
      <c r="F214" s="167"/>
      <c r="G214" s="167"/>
      <c r="H214" s="168"/>
    </row>
    <row r="215" spans="1:11" s="3" customFormat="1" x14ac:dyDescent="0.25">
      <c r="B215" s="45"/>
      <c r="C215" s="138">
        <f>D199</f>
        <v>0.84167999326655996</v>
      </c>
      <c r="D215" s="132">
        <v>0</v>
      </c>
      <c r="E215" s="132">
        <v>0.05</v>
      </c>
      <c r="F215" s="132">
        <v>0.1</v>
      </c>
      <c r="G215" s="132">
        <v>0.15</v>
      </c>
      <c r="H215" s="133">
        <v>0.2</v>
      </c>
    </row>
    <row r="216" spans="1:11" s="3" customFormat="1" x14ac:dyDescent="0.25">
      <c r="B216" s="171" t="s">
        <v>27</v>
      </c>
      <c r="C216" s="143">
        <v>0</v>
      </c>
      <c r="D216" s="139">
        <f t="dataTable" ref="D216:H225" dt2D="1" dtr="1" r1="D197" r2="D196"/>
        <v>1</v>
      </c>
      <c r="E216" s="139">
        <v>1</v>
      </c>
      <c r="F216" s="139">
        <v>1</v>
      </c>
      <c r="G216" s="139">
        <v>1</v>
      </c>
      <c r="H216" s="140">
        <v>1</v>
      </c>
    </row>
    <row r="217" spans="1:11" s="3" customFormat="1" x14ac:dyDescent="0.25">
      <c r="B217" s="171"/>
      <c r="C217" s="143">
        <v>1</v>
      </c>
      <c r="D217" s="139">
        <v>1</v>
      </c>
      <c r="E217" s="139">
        <v>0.95238095238095233</v>
      </c>
      <c r="F217" s="139">
        <v>0.90909090909090906</v>
      </c>
      <c r="G217" s="139">
        <v>0.86956521739130443</v>
      </c>
      <c r="H217" s="140">
        <v>0.83333333333333337</v>
      </c>
    </row>
    <row r="218" spans="1:11" s="3" customFormat="1" x14ac:dyDescent="0.25">
      <c r="B218" s="171"/>
      <c r="C218" s="143">
        <v>2</v>
      </c>
      <c r="D218" s="139">
        <v>1</v>
      </c>
      <c r="E218" s="139">
        <v>0.90702947845804982</v>
      </c>
      <c r="F218" s="139">
        <v>0.82644628099173545</v>
      </c>
      <c r="G218" s="139">
        <v>0.7561436672967865</v>
      </c>
      <c r="H218" s="140">
        <v>0.69444444444444442</v>
      </c>
    </row>
    <row r="219" spans="1:11" s="3" customFormat="1" x14ac:dyDescent="0.25">
      <c r="B219" s="171"/>
      <c r="C219" s="143">
        <v>3</v>
      </c>
      <c r="D219" s="139">
        <v>1</v>
      </c>
      <c r="E219" s="139">
        <v>0.86383759853147601</v>
      </c>
      <c r="F219" s="139">
        <v>0.75131480090157754</v>
      </c>
      <c r="G219" s="139">
        <v>0.65751623243198831</v>
      </c>
      <c r="H219" s="140">
        <v>0.57870370370370372</v>
      </c>
    </row>
    <row r="220" spans="1:11" s="3" customFormat="1" x14ac:dyDescent="0.25">
      <c r="B220" s="171"/>
      <c r="C220" s="143">
        <v>4</v>
      </c>
      <c r="D220" s="139">
        <v>1</v>
      </c>
      <c r="E220" s="139">
        <v>0.82270247479188197</v>
      </c>
      <c r="F220" s="139">
        <v>0.68301345536507052</v>
      </c>
      <c r="G220" s="139">
        <v>0.57175324559303342</v>
      </c>
      <c r="H220" s="140">
        <v>0.48225308641975312</v>
      </c>
    </row>
    <row r="221" spans="1:11" s="3" customFormat="1" x14ac:dyDescent="0.25">
      <c r="B221" s="171"/>
      <c r="C221" s="143">
        <v>5</v>
      </c>
      <c r="D221" s="139">
        <v>1</v>
      </c>
      <c r="E221" s="139">
        <v>0.78352616646845896</v>
      </c>
      <c r="F221" s="139">
        <v>0.62092132305915493</v>
      </c>
      <c r="G221" s="139">
        <v>0.49717673529828987</v>
      </c>
      <c r="H221" s="140">
        <v>0.4018775720164609</v>
      </c>
    </row>
    <row r="222" spans="1:11" s="3" customFormat="1" x14ac:dyDescent="0.25">
      <c r="B222" s="171"/>
      <c r="C222" s="143">
        <v>6</v>
      </c>
      <c r="D222" s="139">
        <v>1</v>
      </c>
      <c r="E222" s="139">
        <v>0.74621539663662761</v>
      </c>
      <c r="F222" s="139">
        <v>0.56447393005377722</v>
      </c>
      <c r="G222" s="139">
        <v>0.43232759591155645</v>
      </c>
      <c r="H222" s="140">
        <v>0.33489797668038412</v>
      </c>
    </row>
    <row r="223" spans="1:11" s="3" customFormat="1" x14ac:dyDescent="0.25">
      <c r="B223" s="171"/>
      <c r="C223" s="143">
        <v>7</v>
      </c>
      <c r="D223" s="139">
        <v>1</v>
      </c>
      <c r="E223" s="139">
        <v>0.71068133013012147</v>
      </c>
      <c r="F223" s="139">
        <v>0.51315811823070645</v>
      </c>
      <c r="G223" s="139">
        <v>0.37593703992309269</v>
      </c>
      <c r="H223" s="140">
        <v>0.27908164723365342</v>
      </c>
    </row>
    <row r="224" spans="1:11" s="3" customFormat="1" x14ac:dyDescent="0.25">
      <c r="B224" s="171"/>
      <c r="C224" s="143">
        <v>8</v>
      </c>
      <c r="D224" s="139">
        <v>1</v>
      </c>
      <c r="E224" s="139">
        <v>0.67683936202868722</v>
      </c>
      <c r="F224" s="139">
        <v>0.46650738020973315</v>
      </c>
      <c r="G224" s="139">
        <v>0.32690177384616753</v>
      </c>
      <c r="H224" s="140">
        <v>0.23256803936137788</v>
      </c>
    </row>
    <row r="225" spans="1:14" s="3" customFormat="1" x14ac:dyDescent="0.25">
      <c r="B225" s="172"/>
      <c r="C225" s="144">
        <v>9</v>
      </c>
      <c r="D225" s="141">
        <v>1</v>
      </c>
      <c r="E225" s="141">
        <v>0.64460891621779726</v>
      </c>
      <c r="F225" s="141">
        <v>0.42409761837248466</v>
      </c>
      <c r="G225" s="141">
        <v>0.28426241204014574</v>
      </c>
      <c r="H225" s="142">
        <v>0.1938066994678149</v>
      </c>
    </row>
    <row r="226" spans="1:14" s="3" customFormat="1" x14ac:dyDescent="0.25"/>
    <row r="227" spans="1:14" s="14" customFormat="1" x14ac:dyDescent="0.25">
      <c r="A227" s="11" t="s">
        <v>7</v>
      </c>
      <c r="B227" s="12"/>
      <c r="C227" s="12"/>
      <c r="D227" s="12"/>
      <c r="E227" s="13"/>
      <c r="F227" s="12"/>
      <c r="G227" s="12"/>
      <c r="H227" s="12"/>
      <c r="I227" s="12"/>
      <c r="J227" s="12"/>
      <c r="K227" s="12"/>
      <c r="L227" s="12"/>
      <c r="M227" s="12"/>
      <c r="N227" s="12"/>
    </row>
    <row r="228" spans="1:14" s="14" customFormat="1" ht="31.5" customHeight="1" x14ac:dyDescent="0.25">
      <c r="A228" s="165" t="s">
        <v>272</v>
      </c>
      <c r="B228" s="165"/>
      <c r="C228" s="165"/>
      <c r="D228" s="165"/>
      <c r="E228" s="165"/>
      <c r="F228" s="165"/>
      <c r="G228" s="165"/>
      <c r="H228" s="165"/>
      <c r="I228" s="165"/>
      <c r="J228" s="165"/>
      <c r="K228" s="165"/>
      <c r="L228" s="12"/>
      <c r="M228" s="12"/>
      <c r="N228" s="12"/>
    </row>
    <row r="229" spans="1:14" s="14" customFormat="1" x14ac:dyDescent="0.25"/>
    <row r="230" spans="1:14" s="3" customFormat="1" x14ac:dyDescent="0.25"/>
    <row r="231" spans="1:14" s="3" customFormat="1" x14ac:dyDescent="0.25">
      <c r="A231" s="164" t="s">
        <v>31</v>
      </c>
      <c r="B231" s="164"/>
      <c r="C231" s="164"/>
      <c r="D231" s="164"/>
      <c r="E231" s="164"/>
      <c r="F231" s="164"/>
      <c r="G231" s="164"/>
      <c r="H231" s="164"/>
      <c r="I231" s="164"/>
      <c r="J231" s="164"/>
      <c r="K231" s="164"/>
    </row>
    <row r="232" spans="1:14" s="3" customFormat="1" x14ac:dyDescent="0.25">
      <c r="D232" s="7"/>
    </row>
    <row r="233" spans="1:14" s="3" customFormat="1" x14ac:dyDescent="0.25">
      <c r="D233" s="7"/>
    </row>
    <row r="234" spans="1:14" s="3" customFormat="1" x14ac:dyDescent="0.25">
      <c r="D234" s="5"/>
    </row>
    <row r="235" spans="1:14" s="3" customFormat="1" x14ac:dyDescent="0.25"/>
    <row r="236" spans="1:14" s="3" customFormat="1" x14ac:dyDescent="0.25">
      <c r="D236" s="8"/>
    </row>
    <row r="237" spans="1:14" s="3" customFormat="1" x14ac:dyDescent="0.25"/>
    <row r="238" spans="1:14" s="3" customFormat="1" x14ac:dyDescent="0.25"/>
    <row r="239" spans="1:14" s="3" customFormat="1" x14ac:dyDescent="0.25"/>
    <row r="240" spans="1:14" s="3" customFormat="1" x14ac:dyDescent="0.25"/>
    <row r="241" spans="1:11" s="3" customFormat="1" x14ac:dyDescent="0.25"/>
    <row r="242" spans="1:11" s="3" customFormat="1" x14ac:dyDescent="0.25"/>
    <row r="243" spans="1:11" s="3" customFormat="1" x14ac:dyDescent="0.25"/>
    <row r="244" spans="1:11" s="3" customFormat="1" x14ac:dyDescent="0.25"/>
    <row r="245" spans="1:11" s="3" customFormat="1" x14ac:dyDescent="0.25"/>
    <row r="246" spans="1:11" s="3" customFormat="1" x14ac:dyDescent="0.25"/>
    <row r="247" spans="1:11" s="3" customFormat="1" x14ac:dyDescent="0.25"/>
    <row r="248" spans="1:11" s="3" customFormat="1" x14ac:dyDescent="0.25"/>
    <row r="249" spans="1:11" s="3" customFormat="1" x14ac:dyDescent="0.25"/>
    <row r="250" spans="1:11" s="3" customFormat="1" x14ac:dyDescent="0.25"/>
    <row r="251" spans="1:11" s="3" customFormat="1" x14ac:dyDescent="0.25"/>
    <row r="252" spans="1:11" s="3" customFormat="1" x14ac:dyDescent="0.25"/>
    <row r="253" spans="1:11" s="3" customFormat="1" x14ac:dyDescent="0.25">
      <c r="A253" s="4" t="s">
        <v>57</v>
      </c>
    </row>
    <row r="254" spans="1:11" s="3" customFormat="1" x14ac:dyDescent="0.25">
      <c r="A254" s="164" t="s">
        <v>195</v>
      </c>
      <c r="B254" s="164"/>
      <c r="C254" s="164"/>
      <c r="D254" s="164"/>
      <c r="E254" s="164"/>
      <c r="F254" s="164"/>
      <c r="G254" s="164"/>
      <c r="H254" s="164"/>
      <c r="I254" s="164"/>
      <c r="J254" s="164"/>
      <c r="K254" s="164"/>
    </row>
    <row r="255" spans="1:11" s="3" customFormat="1" x14ac:dyDescent="0.25"/>
    <row r="256" spans="1:11" s="3" customFormat="1" x14ac:dyDescent="0.25">
      <c r="A256" s="166" t="s">
        <v>58</v>
      </c>
      <c r="B256" s="166"/>
      <c r="C256" s="166"/>
    </row>
    <row r="257" spans="1:14" s="3" customFormat="1" x14ac:dyDescent="0.25"/>
    <row r="258" spans="1:14" s="3" customFormat="1" ht="31.5" customHeight="1" x14ac:dyDescent="0.25">
      <c r="A258" s="53"/>
      <c r="B258" s="164" t="s">
        <v>196</v>
      </c>
      <c r="C258" s="164"/>
      <c r="D258" s="164"/>
      <c r="E258" s="164"/>
      <c r="F258" s="164"/>
      <c r="G258" s="164"/>
      <c r="H258" s="164"/>
      <c r="I258" s="164"/>
      <c r="J258" s="164"/>
      <c r="K258" s="164"/>
    </row>
    <row r="259" spans="1:14" s="3" customFormat="1" x14ac:dyDescent="0.25"/>
    <row r="260" spans="1:14" s="3" customFormat="1" x14ac:dyDescent="0.25">
      <c r="B260" s="3" t="s">
        <v>219</v>
      </c>
      <c r="D260" s="114">
        <v>115830</v>
      </c>
    </row>
    <row r="261" spans="1:14" s="3" customFormat="1" x14ac:dyDescent="0.25">
      <c r="B261" s="3" t="s">
        <v>213</v>
      </c>
      <c r="D261" s="114">
        <v>150000</v>
      </c>
    </row>
    <row r="262" spans="1:14" s="3" customFormat="1" x14ac:dyDescent="0.25">
      <c r="B262" s="3" t="s">
        <v>208</v>
      </c>
      <c r="D262" s="113">
        <v>3</v>
      </c>
    </row>
    <row r="263" spans="1:14" s="3" customFormat="1" x14ac:dyDescent="0.25"/>
    <row r="264" spans="1:14" s="3" customFormat="1" x14ac:dyDescent="0.25">
      <c r="B264" s="3" t="s">
        <v>36</v>
      </c>
      <c r="D264" s="145">
        <f>RATE(D262,,-D260,D261)</f>
        <v>8.9992227030195479E-2</v>
      </c>
    </row>
    <row r="265" spans="1:14" s="3" customFormat="1" x14ac:dyDescent="0.25"/>
    <row r="266" spans="1:14" s="14" customFormat="1" x14ac:dyDescent="0.25">
      <c r="A266" s="11" t="s">
        <v>7</v>
      </c>
      <c r="B266" s="12"/>
      <c r="C266" s="12"/>
      <c r="D266" s="12"/>
      <c r="E266" s="13"/>
      <c r="F266" s="12"/>
      <c r="G266" s="12"/>
      <c r="H266" s="12"/>
      <c r="I266" s="12"/>
      <c r="J266" s="12"/>
      <c r="K266" s="12"/>
      <c r="L266" s="12"/>
      <c r="M266" s="12"/>
      <c r="N266" s="12"/>
    </row>
    <row r="267" spans="1:14" s="14" customFormat="1" x14ac:dyDescent="0.25">
      <c r="A267" s="165" t="s">
        <v>28</v>
      </c>
      <c r="B267" s="165"/>
      <c r="C267" s="165"/>
      <c r="D267" s="165"/>
      <c r="E267" s="165"/>
      <c r="F267" s="165"/>
      <c r="G267" s="165"/>
      <c r="H267" s="165"/>
      <c r="I267" s="165"/>
      <c r="J267" s="165"/>
      <c r="K267" s="165"/>
      <c r="L267" s="12"/>
      <c r="M267" s="12"/>
      <c r="N267" s="12"/>
    </row>
    <row r="268" spans="1:14" s="14" customFormat="1" x14ac:dyDescent="0.25"/>
    <row r="269" spans="1:14" s="14" customFormat="1" x14ac:dyDescent="0.25"/>
    <row r="270" spans="1:14" s="14" customFormat="1" x14ac:dyDescent="0.25"/>
    <row r="271" spans="1:14" s="14" customFormat="1" x14ac:dyDescent="0.25"/>
    <row r="272" spans="1:14" s="14" customFormat="1" x14ac:dyDescent="0.25"/>
    <row r="273" spans="1:11" s="14" customFormat="1" x14ac:dyDescent="0.25"/>
    <row r="274" spans="1:11" s="14" customFormat="1" x14ac:dyDescent="0.25"/>
    <row r="275" spans="1:11" s="14" customFormat="1" x14ac:dyDescent="0.25"/>
    <row r="276" spans="1:11" s="14" customFormat="1" x14ac:dyDescent="0.25"/>
    <row r="277" spans="1:11" s="14" customFormat="1" x14ac:dyDescent="0.25"/>
    <row r="278" spans="1:11" s="14" customFormat="1" x14ac:dyDescent="0.25"/>
    <row r="279" spans="1:11" s="14" customFormat="1" x14ac:dyDescent="0.25"/>
    <row r="280" spans="1:11" s="14" customFormat="1" x14ac:dyDescent="0.25"/>
    <row r="281" spans="1:11" s="14" customFormat="1" x14ac:dyDescent="0.25"/>
    <row r="282" spans="1:11" s="14" customFormat="1" x14ac:dyDescent="0.25"/>
    <row r="283" spans="1:11" s="14" customFormat="1" x14ac:dyDescent="0.25"/>
    <row r="284" spans="1:11" s="14" customFormat="1" x14ac:dyDescent="0.25"/>
    <row r="285" spans="1:11" s="14" customFormat="1" x14ac:dyDescent="0.25"/>
    <row r="286" spans="1:11" s="14" customFormat="1" ht="47.25" customHeight="1" x14ac:dyDescent="0.25">
      <c r="A286" s="169" t="s">
        <v>197</v>
      </c>
      <c r="B286" s="169"/>
      <c r="C286" s="169"/>
      <c r="D286" s="169"/>
      <c r="E286" s="169"/>
      <c r="F286" s="169"/>
      <c r="G286" s="169"/>
      <c r="H286" s="169"/>
      <c r="I286" s="169"/>
      <c r="J286" s="169"/>
      <c r="K286" s="169"/>
    </row>
    <row r="287" spans="1:11" s="14" customFormat="1" x14ac:dyDescent="0.25"/>
    <row r="288" spans="1:11" s="3" customFormat="1" x14ac:dyDescent="0.25"/>
    <row r="289" spans="1:14" s="3" customFormat="1" x14ac:dyDescent="0.25">
      <c r="A289" s="4" t="s">
        <v>56</v>
      </c>
    </row>
    <row r="290" spans="1:14" s="3" customFormat="1" ht="15.75" customHeight="1" x14ac:dyDescent="0.25">
      <c r="A290" s="164" t="s">
        <v>59</v>
      </c>
      <c r="B290" s="164"/>
      <c r="C290" s="164"/>
      <c r="D290" s="164"/>
      <c r="E290" s="164"/>
      <c r="F290" s="164"/>
      <c r="G290" s="164"/>
      <c r="H290" s="164"/>
      <c r="I290" s="164"/>
      <c r="J290" s="164"/>
      <c r="K290" s="164"/>
    </row>
    <row r="291" spans="1:14" s="3" customFormat="1" x14ac:dyDescent="0.25"/>
    <row r="292" spans="1:14" s="3" customFormat="1" x14ac:dyDescent="0.25">
      <c r="A292" s="4" t="s">
        <v>60</v>
      </c>
    </row>
    <row r="293" spans="1:14" s="3" customFormat="1" x14ac:dyDescent="0.25"/>
    <row r="294" spans="1:14" s="3" customFormat="1" ht="15.75" customHeight="1" x14ac:dyDescent="0.25">
      <c r="A294" s="53"/>
      <c r="B294" s="164" t="s">
        <v>29</v>
      </c>
      <c r="C294" s="164"/>
      <c r="D294" s="164"/>
      <c r="E294" s="164"/>
      <c r="F294" s="164"/>
      <c r="G294" s="164"/>
      <c r="H294" s="164"/>
      <c r="I294" s="164"/>
      <c r="J294" s="164"/>
      <c r="K294" s="164"/>
    </row>
    <row r="295" spans="1:14" s="3" customFormat="1" x14ac:dyDescent="0.25"/>
    <row r="296" spans="1:14" s="3" customFormat="1" x14ac:dyDescent="0.25">
      <c r="B296" s="3" t="s">
        <v>219</v>
      </c>
      <c r="D296" s="114">
        <v>2300000</v>
      </c>
    </row>
    <row r="297" spans="1:14" s="3" customFormat="1" x14ac:dyDescent="0.25">
      <c r="B297" s="3" t="s">
        <v>213</v>
      </c>
      <c r="D297" s="114">
        <v>10000000</v>
      </c>
    </row>
    <row r="298" spans="1:14" s="3" customFormat="1" x14ac:dyDescent="0.25">
      <c r="B298" s="3" t="s">
        <v>36</v>
      </c>
      <c r="D298" s="117">
        <v>0.05</v>
      </c>
    </row>
    <row r="299" spans="1:14" s="3" customFormat="1" x14ac:dyDescent="0.25"/>
    <row r="300" spans="1:14" s="3" customFormat="1" x14ac:dyDescent="0.25">
      <c r="B300" s="3" t="s">
        <v>208</v>
      </c>
      <c r="D300" s="146">
        <f>NPER(D298,,-D296,D297)</f>
        <v>30.122382145615351</v>
      </c>
    </row>
    <row r="301" spans="1:14" s="3" customFormat="1" x14ac:dyDescent="0.25"/>
    <row r="302" spans="1:14" s="14" customFormat="1" x14ac:dyDescent="0.25">
      <c r="A302" s="11" t="s">
        <v>7</v>
      </c>
      <c r="B302" s="12"/>
      <c r="C302" s="12"/>
      <c r="D302" s="12"/>
      <c r="E302" s="13"/>
      <c r="F302" s="12"/>
      <c r="G302" s="12"/>
      <c r="H302" s="12"/>
      <c r="I302" s="12"/>
      <c r="J302" s="12"/>
      <c r="K302" s="12"/>
      <c r="L302" s="12"/>
      <c r="M302" s="12"/>
      <c r="N302" s="12"/>
    </row>
    <row r="303" spans="1:14" s="14" customFormat="1" x14ac:dyDescent="0.25">
      <c r="A303" s="165" t="s">
        <v>41</v>
      </c>
      <c r="B303" s="165"/>
      <c r="C303" s="165"/>
      <c r="D303" s="165"/>
      <c r="E303" s="165"/>
      <c r="F303" s="165"/>
      <c r="G303" s="165"/>
      <c r="H303" s="165"/>
      <c r="I303" s="165"/>
      <c r="J303" s="165"/>
      <c r="K303" s="165"/>
      <c r="L303" s="12"/>
      <c r="M303" s="12"/>
      <c r="N303" s="12"/>
    </row>
    <row r="304" spans="1:14" s="14" customFormat="1" x14ac:dyDescent="0.25"/>
    <row r="305" s="14" customFormat="1" x14ac:dyDescent="0.25"/>
    <row r="306" s="14" customFormat="1" x14ac:dyDescent="0.25"/>
    <row r="307" s="14" customFormat="1" x14ac:dyDescent="0.25"/>
    <row r="308" s="14" customFormat="1" x14ac:dyDescent="0.25"/>
    <row r="309" s="14" customFormat="1" x14ac:dyDescent="0.25"/>
    <row r="310" s="14" customFormat="1" x14ac:dyDescent="0.25"/>
    <row r="311" s="14" customFormat="1" x14ac:dyDescent="0.25"/>
    <row r="312" s="14" customFormat="1" x14ac:dyDescent="0.25"/>
    <row r="313" s="14" customFormat="1" x14ac:dyDescent="0.25"/>
    <row r="314" s="14" customFormat="1" x14ac:dyDescent="0.25"/>
    <row r="315" s="14" customFormat="1" x14ac:dyDescent="0.25"/>
    <row r="316" s="14" customFormat="1" x14ac:dyDescent="0.25"/>
    <row r="317" s="14" customFormat="1" x14ac:dyDescent="0.25"/>
    <row r="318" s="14" customFormat="1" x14ac:dyDescent="0.25"/>
    <row r="319" s="14" customFormat="1" x14ac:dyDescent="0.25"/>
    <row r="320" s="14" customFormat="1" x14ac:dyDescent="0.25"/>
    <row r="321" spans="1:11" s="14" customFormat="1" ht="47.25" customHeight="1" x14ac:dyDescent="0.25">
      <c r="A321" s="169" t="s">
        <v>46</v>
      </c>
      <c r="B321" s="169"/>
      <c r="C321" s="169"/>
      <c r="D321" s="169"/>
      <c r="E321" s="169"/>
      <c r="F321" s="169"/>
      <c r="G321" s="169"/>
      <c r="H321" s="169"/>
      <c r="I321" s="169"/>
      <c r="J321" s="169"/>
      <c r="K321" s="169"/>
    </row>
    <row r="322" spans="1:11" s="14" customFormat="1" x14ac:dyDescent="0.25"/>
    <row r="323" spans="1:11" s="3" customFormat="1" x14ac:dyDescent="0.25"/>
    <row r="324" spans="1:11" s="3" customFormat="1" x14ac:dyDescent="0.25">
      <c r="A324" s="4" t="s">
        <v>35</v>
      </c>
    </row>
    <row r="325" spans="1:11" s="3" customFormat="1" x14ac:dyDescent="0.25"/>
    <row r="326" spans="1:11" s="3" customFormat="1" ht="31.5" customHeight="1" x14ac:dyDescent="0.25">
      <c r="A326" s="164" t="s">
        <v>198</v>
      </c>
      <c r="B326" s="164"/>
      <c r="C326" s="164"/>
      <c r="D326" s="164"/>
      <c r="E326" s="164"/>
      <c r="F326" s="164"/>
      <c r="G326" s="164"/>
      <c r="H326" s="164"/>
      <c r="I326" s="164"/>
      <c r="J326" s="164"/>
      <c r="K326" s="164"/>
    </row>
    <row r="327" spans="1:11" s="3" customFormat="1" x14ac:dyDescent="0.25"/>
    <row r="328" spans="1:11" s="3" customFormat="1" x14ac:dyDescent="0.25">
      <c r="B328" s="3" t="s">
        <v>25</v>
      </c>
      <c r="C328" s="114">
        <v>100</v>
      </c>
    </row>
    <row r="329" spans="1:11" s="3" customFormat="1" x14ac:dyDescent="0.25">
      <c r="B329" s="48" t="s">
        <v>1</v>
      </c>
      <c r="C329" s="49" t="s">
        <v>36</v>
      </c>
    </row>
    <row r="330" spans="1:11" s="3" customFormat="1" x14ac:dyDescent="0.25">
      <c r="B330" s="46">
        <v>1</v>
      </c>
      <c r="C330" s="147">
        <v>0.08</v>
      </c>
    </row>
    <row r="331" spans="1:11" s="3" customFormat="1" x14ac:dyDescent="0.25">
      <c r="B331" s="46">
        <v>2</v>
      </c>
      <c r="C331" s="147">
        <v>0.06</v>
      </c>
    </row>
    <row r="332" spans="1:11" s="3" customFormat="1" x14ac:dyDescent="0.25">
      <c r="B332" s="46">
        <v>3</v>
      </c>
      <c r="C332" s="147">
        <v>0.1</v>
      </c>
    </row>
    <row r="333" spans="1:11" s="3" customFormat="1" x14ac:dyDescent="0.25">
      <c r="B333" s="46">
        <v>4</v>
      </c>
      <c r="C333" s="147">
        <v>0.15</v>
      </c>
    </row>
    <row r="334" spans="1:11" s="3" customFormat="1" x14ac:dyDescent="0.25">
      <c r="B334" s="46">
        <v>5</v>
      </c>
      <c r="C334" s="147">
        <v>0.11</v>
      </c>
    </row>
    <row r="335" spans="1:11" s="3" customFormat="1" x14ac:dyDescent="0.25">
      <c r="B335" s="47">
        <v>6</v>
      </c>
      <c r="C335" s="148">
        <v>0.09</v>
      </c>
    </row>
    <row r="336" spans="1:11" s="3" customFormat="1" x14ac:dyDescent="0.25"/>
    <row r="337" spans="1:14" s="3" customFormat="1" ht="31.5" customHeight="1" x14ac:dyDescent="0.25">
      <c r="A337" s="164" t="s">
        <v>273</v>
      </c>
      <c r="B337" s="164"/>
      <c r="C337" s="164"/>
      <c r="D337" s="164"/>
      <c r="E337" s="164"/>
      <c r="F337" s="164"/>
      <c r="G337" s="164"/>
      <c r="H337" s="164"/>
      <c r="I337" s="164"/>
      <c r="J337" s="164"/>
      <c r="K337" s="164"/>
    </row>
    <row r="338" spans="1:14" s="3" customFormat="1" x14ac:dyDescent="0.25"/>
    <row r="339" spans="1:14" s="3" customFormat="1" ht="31.5" x14ac:dyDescent="0.25">
      <c r="B339" s="48" t="s">
        <v>1</v>
      </c>
      <c r="C339" s="50" t="s">
        <v>189</v>
      </c>
    </row>
    <row r="340" spans="1:14" s="3" customFormat="1" x14ac:dyDescent="0.25">
      <c r="B340" s="46">
        <v>1</v>
      </c>
      <c r="C340" s="120">
        <f>C328*(1+C330)</f>
        <v>108</v>
      </c>
    </row>
    <row r="341" spans="1:14" s="3" customFormat="1" x14ac:dyDescent="0.25">
      <c r="B341" s="46">
        <v>2</v>
      </c>
      <c r="C341" s="122">
        <f>C340*(1+C331)</f>
        <v>114.48</v>
      </c>
    </row>
    <row r="342" spans="1:14" s="3" customFormat="1" x14ac:dyDescent="0.25">
      <c r="B342" s="46">
        <v>3</v>
      </c>
      <c r="C342" s="122">
        <f>C341*(1+C332)</f>
        <v>125.92800000000001</v>
      </c>
    </row>
    <row r="343" spans="1:14" s="3" customFormat="1" x14ac:dyDescent="0.25">
      <c r="B343" s="46">
        <v>4</v>
      </c>
      <c r="C343" s="122">
        <f>C342*(1+C333)</f>
        <v>144.81720000000001</v>
      </c>
    </row>
    <row r="344" spans="1:14" s="3" customFormat="1" x14ac:dyDescent="0.25">
      <c r="B344" s="46">
        <v>5</v>
      </c>
      <c r="C344" s="122">
        <f>C343*(1+C334)</f>
        <v>160.74709200000004</v>
      </c>
    </row>
    <row r="345" spans="1:14" s="3" customFormat="1" x14ac:dyDescent="0.25">
      <c r="B345" s="47">
        <v>6</v>
      </c>
      <c r="C345" s="149">
        <f>C344*(1+C335)</f>
        <v>175.21433028000004</v>
      </c>
    </row>
    <row r="346" spans="1:14" s="3" customFormat="1" x14ac:dyDescent="0.25">
      <c r="B346" s="10"/>
      <c r="C346" s="16"/>
    </row>
    <row r="347" spans="1:14" s="3" customFormat="1" ht="31.5" customHeight="1" x14ac:dyDescent="0.25">
      <c r="A347" s="164" t="s">
        <v>47</v>
      </c>
      <c r="B347" s="164"/>
      <c r="C347" s="164"/>
      <c r="D347" s="164"/>
      <c r="E347" s="164"/>
      <c r="F347" s="164"/>
      <c r="G347" s="164"/>
      <c r="H347" s="164"/>
      <c r="I347" s="164"/>
      <c r="J347" s="164"/>
      <c r="K347" s="164"/>
    </row>
    <row r="348" spans="1:14" s="3" customFormat="1" x14ac:dyDescent="0.25"/>
    <row r="349" spans="1:14" s="3" customFormat="1" x14ac:dyDescent="0.25">
      <c r="B349" s="3" t="s">
        <v>213</v>
      </c>
      <c r="C349" s="118">
        <f>FVSCHEDULE(C328,C330:C335)</f>
        <v>175.21433028000004</v>
      </c>
    </row>
    <row r="350" spans="1:14" s="3" customFormat="1" x14ac:dyDescent="0.25"/>
    <row r="351" spans="1:14" s="14" customFormat="1" x14ac:dyDescent="0.25">
      <c r="A351" s="11" t="s">
        <v>7</v>
      </c>
      <c r="B351" s="12"/>
      <c r="C351" s="12"/>
      <c r="D351" s="12"/>
      <c r="E351" s="13"/>
      <c r="F351" s="12"/>
      <c r="G351" s="12"/>
      <c r="H351" s="12"/>
      <c r="I351" s="12"/>
      <c r="J351" s="12"/>
      <c r="K351" s="12"/>
      <c r="L351" s="12"/>
      <c r="M351" s="12"/>
      <c r="N351" s="12"/>
    </row>
    <row r="352" spans="1:14" s="14" customFormat="1" x14ac:dyDescent="0.25">
      <c r="A352" s="165" t="s">
        <v>37</v>
      </c>
      <c r="B352" s="165"/>
      <c r="C352" s="165"/>
      <c r="D352" s="165"/>
      <c r="E352" s="165"/>
      <c r="F352" s="165"/>
      <c r="G352" s="165"/>
      <c r="H352" s="165"/>
      <c r="I352" s="165"/>
      <c r="J352" s="165"/>
      <c r="K352" s="165"/>
      <c r="L352" s="12"/>
      <c r="M352" s="12"/>
      <c r="N352" s="12"/>
    </row>
    <row r="353" spans="1:11" s="14" customFormat="1" x14ac:dyDescent="0.25"/>
    <row r="354" spans="1:11" s="14" customFormat="1" x14ac:dyDescent="0.25"/>
    <row r="355" spans="1:11" s="14" customFormat="1" x14ac:dyDescent="0.25"/>
    <row r="356" spans="1:11" s="14" customFormat="1" x14ac:dyDescent="0.25"/>
    <row r="357" spans="1:11" s="14" customFormat="1" x14ac:dyDescent="0.25"/>
    <row r="358" spans="1:11" s="14" customFormat="1" x14ac:dyDescent="0.25"/>
    <row r="359" spans="1:11" s="14" customFormat="1" x14ac:dyDescent="0.25"/>
    <row r="360" spans="1:11" s="14" customFormat="1" x14ac:dyDescent="0.25"/>
    <row r="361" spans="1:11" s="14" customFormat="1" x14ac:dyDescent="0.25"/>
    <row r="362" spans="1:11" s="14" customFormat="1" x14ac:dyDescent="0.25"/>
    <row r="363" spans="1:11" s="14" customFormat="1" x14ac:dyDescent="0.25"/>
    <row r="364" spans="1:11" s="14" customFormat="1" x14ac:dyDescent="0.25"/>
    <row r="365" spans="1:11" s="14" customFormat="1" x14ac:dyDescent="0.25"/>
    <row r="366" spans="1:11" s="14" customFormat="1" x14ac:dyDescent="0.25"/>
    <row r="367" spans="1:11" s="14" customFormat="1" ht="15.75" customHeight="1" x14ac:dyDescent="0.25">
      <c r="A367" s="169" t="s">
        <v>42</v>
      </c>
      <c r="B367" s="169"/>
      <c r="C367" s="169"/>
      <c r="D367" s="169"/>
      <c r="E367" s="169"/>
      <c r="F367" s="169"/>
      <c r="G367" s="169"/>
      <c r="H367" s="169"/>
      <c r="I367" s="169"/>
      <c r="J367" s="169"/>
      <c r="K367" s="169"/>
    </row>
    <row r="368" spans="1:11" s="14" customFormat="1" x14ac:dyDescent="0.25"/>
    <row r="369" spans="1:11" s="3" customFormat="1" x14ac:dyDescent="0.25"/>
    <row r="370" spans="1:11" s="3" customFormat="1" x14ac:dyDescent="0.25">
      <c r="A370" s="166" t="s">
        <v>64</v>
      </c>
      <c r="B370" s="166"/>
      <c r="C370" s="166"/>
    </row>
    <row r="371" spans="1:11" s="3" customFormat="1" ht="31.5" customHeight="1" x14ac:dyDescent="0.25">
      <c r="A371" s="164" t="s">
        <v>65</v>
      </c>
      <c r="B371" s="164"/>
      <c r="C371" s="164"/>
      <c r="D371" s="164"/>
      <c r="E371" s="164"/>
      <c r="F371" s="164"/>
      <c r="G371" s="164"/>
      <c r="H371" s="164"/>
      <c r="I371" s="164"/>
      <c r="J371" s="164"/>
      <c r="K371" s="164"/>
    </row>
    <row r="372" spans="1:11" s="3" customFormat="1" x14ac:dyDescent="0.25"/>
    <row r="373" spans="1:11" s="3" customFormat="1" x14ac:dyDescent="0.25">
      <c r="A373" s="166" t="s">
        <v>66</v>
      </c>
      <c r="B373" s="166"/>
      <c r="C373" s="166"/>
    </row>
    <row r="374" spans="1:11" s="3" customFormat="1" ht="31.5" customHeight="1" x14ac:dyDescent="0.25">
      <c r="A374" s="110"/>
      <c r="B374" s="164" t="s">
        <v>181</v>
      </c>
      <c r="C374" s="164"/>
      <c r="D374" s="164"/>
      <c r="E374" s="164"/>
      <c r="F374" s="164"/>
      <c r="G374" s="164"/>
      <c r="H374" s="164"/>
      <c r="I374" s="164"/>
      <c r="J374" s="164"/>
      <c r="K374" s="164"/>
    </row>
    <row r="375" spans="1:11" s="3" customFormat="1" x14ac:dyDescent="0.25"/>
    <row r="376" spans="1:11" s="3" customFormat="1" x14ac:dyDescent="0.25">
      <c r="B376" s="57" t="s">
        <v>61</v>
      </c>
      <c r="C376" s="58" t="s">
        <v>62</v>
      </c>
    </row>
    <row r="377" spans="1:11" s="3" customFormat="1" x14ac:dyDescent="0.25">
      <c r="B377" s="39">
        <v>0</v>
      </c>
      <c r="C377" s="150">
        <v>-50000</v>
      </c>
    </row>
    <row r="378" spans="1:11" s="3" customFormat="1" x14ac:dyDescent="0.25">
      <c r="B378" s="39">
        <v>1</v>
      </c>
      <c r="C378" s="151">
        <v>25000</v>
      </c>
    </row>
    <row r="379" spans="1:11" s="3" customFormat="1" x14ac:dyDescent="0.25">
      <c r="B379" s="39">
        <v>2</v>
      </c>
      <c r="C379" s="151">
        <v>20000</v>
      </c>
    </row>
    <row r="380" spans="1:11" s="3" customFormat="1" x14ac:dyDescent="0.25">
      <c r="B380" s="40">
        <v>3</v>
      </c>
      <c r="C380" s="152">
        <v>15000</v>
      </c>
    </row>
    <row r="381" spans="1:11" s="3" customFormat="1" x14ac:dyDescent="0.25"/>
    <row r="382" spans="1:11" s="3" customFormat="1" x14ac:dyDescent="0.25">
      <c r="B382" s="3" t="s">
        <v>220</v>
      </c>
      <c r="C382" s="117">
        <v>7.0000000000000007E-2</v>
      </c>
    </row>
    <row r="383" spans="1:11" s="3" customFormat="1" x14ac:dyDescent="0.25"/>
    <row r="384" spans="1:11" s="3" customFormat="1" x14ac:dyDescent="0.25">
      <c r="B384" s="3" t="s">
        <v>221</v>
      </c>
      <c r="C384" s="118">
        <f>NPV(C382,C378:C380)+C377</f>
        <v>3077.7287001354198</v>
      </c>
    </row>
    <row r="385" spans="1:14" s="3" customFormat="1" x14ac:dyDescent="0.25"/>
    <row r="386" spans="1:14" s="14" customFormat="1" x14ac:dyDescent="0.25">
      <c r="A386" s="29" t="s">
        <v>7</v>
      </c>
      <c r="B386" s="12"/>
      <c r="C386" s="12"/>
      <c r="D386" s="12"/>
      <c r="E386" s="13"/>
      <c r="F386" s="12"/>
      <c r="G386" s="12"/>
      <c r="H386" s="12"/>
      <c r="I386" s="12"/>
      <c r="J386" s="12"/>
      <c r="K386" s="12"/>
      <c r="L386" s="12"/>
      <c r="M386" s="12"/>
      <c r="N386" s="12"/>
    </row>
    <row r="387" spans="1:14" s="14" customFormat="1" ht="15.75" customHeight="1" x14ac:dyDescent="0.25">
      <c r="A387" s="165" t="s">
        <v>63</v>
      </c>
      <c r="B387" s="165"/>
      <c r="C387" s="165"/>
      <c r="D387" s="165"/>
      <c r="E387" s="165"/>
      <c r="F387" s="165"/>
      <c r="G387" s="165"/>
      <c r="H387" s="165"/>
      <c r="I387" s="165"/>
      <c r="J387" s="165"/>
      <c r="K387" s="165"/>
      <c r="L387" s="12"/>
      <c r="M387" s="12"/>
      <c r="N387" s="12"/>
    </row>
    <row r="388" spans="1:14" s="14" customFormat="1" x14ac:dyDescent="0.25"/>
    <row r="389" spans="1:14" s="14" customFormat="1" x14ac:dyDescent="0.25"/>
    <row r="390" spans="1:14" s="14" customFormat="1" x14ac:dyDescent="0.25"/>
    <row r="391" spans="1:14" s="14" customFormat="1" x14ac:dyDescent="0.25"/>
    <row r="392" spans="1:14" s="14" customFormat="1" x14ac:dyDescent="0.25"/>
    <row r="393" spans="1:14" s="14" customFormat="1" x14ac:dyDescent="0.25"/>
    <row r="394" spans="1:14" s="14" customFormat="1" x14ac:dyDescent="0.25"/>
    <row r="395" spans="1:14" s="14" customFormat="1" x14ac:dyDescent="0.25"/>
    <row r="396" spans="1:14" s="14" customFormat="1" x14ac:dyDescent="0.25"/>
    <row r="397" spans="1:14" s="14" customFormat="1" x14ac:dyDescent="0.25"/>
    <row r="398" spans="1:14" s="14" customFormat="1" x14ac:dyDescent="0.25"/>
    <row r="399" spans="1:14" s="14" customFormat="1" x14ac:dyDescent="0.25"/>
    <row r="400" spans="1:14" s="14" customFormat="1" x14ac:dyDescent="0.25"/>
    <row r="401" spans="1:11" s="14" customFormat="1" x14ac:dyDescent="0.25"/>
    <row r="402" spans="1:11" s="14" customFormat="1" x14ac:dyDescent="0.25"/>
    <row r="403" spans="1:11" s="14" customFormat="1" x14ac:dyDescent="0.25"/>
    <row r="404" spans="1:11" s="14" customFormat="1" x14ac:dyDescent="0.25"/>
    <row r="405" spans="1:11" s="14" customFormat="1" x14ac:dyDescent="0.25"/>
    <row r="406" spans="1:11" s="14" customFormat="1" ht="63" customHeight="1" x14ac:dyDescent="0.25">
      <c r="A406" s="169" t="s">
        <v>199</v>
      </c>
      <c r="B406" s="169"/>
      <c r="C406" s="169"/>
      <c r="D406" s="169"/>
      <c r="E406" s="169"/>
      <c r="F406" s="169"/>
      <c r="G406" s="169"/>
      <c r="H406" s="169"/>
      <c r="I406" s="169"/>
      <c r="J406" s="169"/>
      <c r="K406" s="169"/>
    </row>
    <row r="407" spans="1:11" s="14" customFormat="1" x14ac:dyDescent="0.25"/>
    <row r="408" spans="1:11" s="3" customFormat="1" x14ac:dyDescent="0.25"/>
    <row r="409" spans="1:11" ht="31.5" customHeight="1" x14ac:dyDescent="0.25">
      <c r="A409" s="164" t="s">
        <v>223</v>
      </c>
      <c r="B409" s="164"/>
      <c r="C409" s="164"/>
      <c r="D409" s="164"/>
      <c r="E409" s="164"/>
      <c r="F409" s="164"/>
      <c r="G409" s="164"/>
      <c r="H409" s="164"/>
      <c r="I409" s="164"/>
      <c r="J409" s="164"/>
      <c r="K409" s="164"/>
    </row>
    <row r="411" spans="1:11" x14ac:dyDescent="0.25">
      <c r="B411" s="3" t="s">
        <v>36</v>
      </c>
      <c r="C411" s="117">
        <v>0.12</v>
      </c>
    </row>
    <row r="412" spans="1:11" x14ac:dyDescent="0.25">
      <c r="C412" s="59" t="s">
        <v>67</v>
      </c>
    </row>
    <row r="413" spans="1:11" x14ac:dyDescent="0.25">
      <c r="B413" s="10">
        <v>0</v>
      </c>
      <c r="C413" s="114">
        <v>10825000</v>
      </c>
    </row>
    <row r="414" spans="1:11" x14ac:dyDescent="0.25">
      <c r="B414" s="10">
        <v>1</v>
      </c>
      <c r="C414" s="114">
        <v>22806905</v>
      </c>
    </row>
    <row r="415" spans="1:11" x14ac:dyDescent="0.25">
      <c r="B415" s="10">
        <v>2</v>
      </c>
      <c r="C415" s="114">
        <v>29450000</v>
      </c>
    </row>
    <row r="416" spans="1:11" x14ac:dyDescent="0.25">
      <c r="B416" s="10">
        <v>3</v>
      </c>
      <c r="C416" s="114">
        <v>40450000</v>
      </c>
    </row>
    <row r="417" spans="2:5" x14ac:dyDescent="0.25">
      <c r="B417" s="10">
        <v>4</v>
      </c>
      <c r="C417" s="114">
        <v>37950000</v>
      </c>
    </row>
    <row r="418" spans="2:5" x14ac:dyDescent="0.25">
      <c r="B418" s="10">
        <v>5</v>
      </c>
      <c r="C418" s="114">
        <v>41950000</v>
      </c>
    </row>
    <row r="419" spans="2:5" x14ac:dyDescent="0.25">
      <c r="B419" s="10">
        <v>6</v>
      </c>
      <c r="C419" s="114">
        <v>41950000</v>
      </c>
    </row>
    <row r="420" spans="2:5" x14ac:dyDescent="0.25">
      <c r="B420" s="10">
        <v>7</v>
      </c>
      <c r="C420" s="114">
        <v>59950000</v>
      </c>
    </row>
    <row r="421" spans="2:5" x14ac:dyDescent="0.25">
      <c r="B421" s="10">
        <v>8</v>
      </c>
      <c r="C421" s="114">
        <v>44450000</v>
      </c>
    </row>
    <row r="422" spans="2:5" x14ac:dyDescent="0.25">
      <c r="B422" s="10">
        <v>9</v>
      </c>
      <c r="C422" s="114">
        <v>44950000</v>
      </c>
    </row>
    <row r="423" spans="2:5" x14ac:dyDescent="0.25">
      <c r="B423" s="10">
        <v>10</v>
      </c>
      <c r="C423" s="114">
        <v>50450000</v>
      </c>
    </row>
    <row r="424" spans="2:5" x14ac:dyDescent="0.25">
      <c r="B424" s="10">
        <v>11</v>
      </c>
      <c r="C424" s="114">
        <v>52450000</v>
      </c>
    </row>
    <row r="426" spans="2:5" x14ac:dyDescent="0.25">
      <c r="B426" s="3" t="s">
        <v>222</v>
      </c>
      <c r="D426" s="170">
        <f>NPV(C411,C414:C424)+C413</f>
        <v>245233858.97192773</v>
      </c>
      <c r="E426" s="170"/>
    </row>
  </sheetData>
  <mergeCells count="55">
    <mergeCell ref="D426:E426"/>
    <mergeCell ref="A387:K387"/>
    <mergeCell ref="A406:K406"/>
    <mergeCell ref="A370:C370"/>
    <mergeCell ref="A373:C373"/>
    <mergeCell ref="A409:K409"/>
    <mergeCell ref="B374:K374"/>
    <mergeCell ref="B258:K258"/>
    <mergeCell ref="A352:K352"/>
    <mergeCell ref="A367:K367"/>
    <mergeCell ref="A256:C256"/>
    <mergeCell ref="A371:K371"/>
    <mergeCell ref="A303:K303"/>
    <mergeCell ref="A321:K321"/>
    <mergeCell ref="A326:K326"/>
    <mergeCell ref="A337:K337"/>
    <mergeCell ref="A347:K347"/>
    <mergeCell ref="A267:K267"/>
    <mergeCell ref="A286:K286"/>
    <mergeCell ref="A290:K290"/>
    <mergeCell ref="B294:K294"/>
    <mergeCell ref="A231:K231"/>
    <mergeCell ref="A158:D158"/>
    <mergeCell ref="A161:E161"/>
    <mergeCell ref="A254:K254"/>
    <mergeCell ref="A202:K202"/>
    <mergeCell ref="A211:K211"/>
    <mergeCell ref="C214:H214"/>
    <mergeCell ref="B216:B225"/>
    <mergeCell ref="A228:K228"/>
    <mergeCell ref="A142:K142"/>
    <mergeCell ref="A159:K159"/>
    <mergeCell ref="A190:K190"/>
    <mergeCell ref="A193:K193"/>
    <mergeCell ref="A116:K116"/>
    <mergeCell ref="A121:K121"/>
    <mergeCell ref="A139:K139"/>
    <mergeCell ref="B144:K144"/>
    <mergeCell ref="A153:K153"/>
    <mergeCell ref="D150:F150"/>
    <mergeCell ref="A155:K155"/>
    <mergeCell ref="A68:K68"/>
    <mergeCell ref="A84:K84"/>
    <mergeCell ref="A107:K107"/>
    <mergeCell ref="A110:K110"/>
    <mergeCell ref="A5:K5"/>
    <mergeCell ref="B9:K9"/>
    <mergeCell ref="A17:K17"/>
    <mergeCell ref="A22:K22"/>
    <mergeCell ref="A32:K32"/>
    <mergeCell ref="A7:K7"/>
    <mergeCell ref="C70:G70"/>
    <mergeCell ref="A41:K41"/>
    <mergeCell ref="A62:K62"/>
    <mergeCell ref="A65:K6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workbookViewId="0"/>
  </sheetViews>
  <sheetFormatPr defaultColWidth="9.140625" defaultRowHeight="15.75" x14ac:dyDescent="0.25"/>
  <cols>
    <col min="1" max="1" width="4.7109375" style="3" customWidth="1"/>
    <col min="2" max="2" width="10.7109375" style="3" customWidth="1"/>
    <col min="3" max="13" width="14.7109375" style="3" customWidth="1"/>
    <col min="14" max="36" width="10.7109375" style="3" customWidth="1"/>
    <col min="37" max="16384" width="9.140625" style="3"/>
  </cols>
  <sheetData>
    <row r="1" spans="1:14" ht="16.5" thickBot="1" x14ac:dyDescent="0.3"/>
    <row r="2" spans="1:14" ht="21" x14ac:dyDescent="0.35">
      <c r="B2" s="60" t="s">
        <v>76</v>
      </c>
      <c r="C2" s="61"/>
      <c r="D2" s="32"/>
    </row>
    <row r="3" spans="1:14" s="62" customFormat="1" ht="21.75" thickBot="1" x14ac:dyDescent="0.4">
      <c r="B3" s="33" t="s">
        <v>77</v>
      </c>
      <c r="C3" s="63"/>
      <c r="D3" s="64"/>
    </row>
    <row r="5" spans="1:14" x14ac:dyDescent="0.25">
      <c r="A5" s="164" t="s">
        <v>68</v>
      </c>
      <c r="B5" s="164"/>
      <c r="C5" s="164"/>
      <c r="D5" s="164"/>
      <c r="E5" s="164"/>
      <c r="F5" s="164"/>
      <c r="G5" s="164"/>
      <c r="H5" s="164"/>
      <c r="I5" s="164"/>
      <c r="J5" s="164"/>
      <c r="K5" s="164"/>
    </row>
    <row r="7" spans="1:14" x14ac:dyDescent="0.25">
      <c r="A7" s="4" t="s">
        <v>78</v>
      </c>
    </row>
    <row r="9" spans="1:14" ht="31.5" customHeight="1" x14ac:dyDescent="0.25">
      <c r="A9" s="53"/>
      <c r="B9" s="164" t="s">
        <v>274</v>
      </c>
      <c r="C9" s="164"/>
      <c r="D9" s="164"/>
      <c r="E9" s="164"/>
      <c r="F9" s="164"/>
      <c r="G9" s="164"/>
      <c r="H9" s="164"/>
      <c r="I9" s="164"/>
      <c r="J9" s="164"/>
      <c r="K9" s="164"/>
    </row>
    <row r="11" spans="1:14" x14ac:dyDescent="0.25">
      <c r="B11" s="3" t="s">
        <v>224</v>
      </c>
      <c r="E11" s="117">
        <v>0.24</v>
      </c>
    </row>
    <row r="12" spans="1:14" x14ac:dyDescent="0.25">
      <c r="B12" s="3" t="s">
        <v>225</v>
      </c>
      <c r="E12" s="113">
        <v>12</v>
      </c>
    </row>
    <row r="14" spans="1:14" x14ac:dyDescent="0.25">
      <c r="B14" s="3" t="s">
        <v>226</v>
      </c>
      <c r="E14" s="145">
        <f>EFFECT(E11,E12)</f>
        <v>0.26824179456254527</v>
      </c>
    </row>
    <row r="16" spans="1:14" s="14" customFormat="1" x14ac:dyDescent="0.25">
      <c r="A16" s="29" t="s">
        <v>7</v>
      </c>
      <c r="B16" s="12"/>
      <c r="C16" s="12"/>
      <c r="D16" s="12"/>
      <c r="E16" s="13"/>
      <c r="F16" s="12"/>
      <c r="G16" s="12"/>
      <c r="H16" s="12"/>
      <c r="I16" s="12"/>
      <c r="J16" s="12"/>
      <c r="K16" s="12"/>
      <c r="L16" s="12"/>
      <c r="M16" s="12"/>
      <c r="N16" s="12"/>
    </row>
    <row r="17" spans="1:14" s="14" customFormat="1" ht="15.75" customHeight="1" x14ac:dyDescent="0.25">
      <c r="A17" s="165" t="s">
        <v>69</v>
      </c>
      <c r="B17" s="165"/>
      <c r="C17" s="165"/>
      <c r="D17" s="165"/>
      <c r="E17" s="165"/>
      <c r="F17" s="165"/>
      <c r="G17" s="165"/>
      <c r="H17" s="165"/>
      <c r="I17" s="165"/>
      <c r="J17" s="165"/>
      <c r="K17" s="165"/>
      <c r="L17" s="12"/>
      <c r="M17" s="12"/>
      <c r="N17" s="12"/>
    </row>
    <row r="18" spans="1:14" s="14" customFormat="1" x14ac:dyDescent="0.25"/>
    <row r="19" spans="1:14" s="14" customFormat="1" x14ac:dyDescent="0.25"/>
    <row r="20" spans="1:14" s="14" customFormat="1" x14ac:dyDescent="0.25"/>
    <row r="21" spans="1:14" s="14" customFormat="1" x14ac:dyDescent="0.25"/>
    <row r="22" spans="1:14" s="14" customFormat="1" x14ac:dyDescent="0.25"/>
    <row r="23" spans="1:14" s="14" customFormat="1" x14ac:dyDescent="0.25"/>
    <row r="24" spans="1:14" s="14" customFormat="1" x14ac:dyDescent="0.25"/>
    <row r="25" spans="1:14" s="14" customFormat="1" x14ac:dyDescent="0.25"/>
    <row r="26" spans="1:14" s="14" customFormat="1" x14ac:dyDescent="0.25"/>
    <row r="27" spans="1:14" s="14" customFormat="1" x14ac:dyDescent="0.25"/>
    <row r="28" spans="1:14" s="14" customFormat="1" x14ac:dyDescent="0.25"/>
    <row r="29" spans="1:14" s="14" customFormat="1" x14ac:dyDescent="0.25"/>
    <row r="30" spans="1:14" s="14" customFormat="1" x14ac:dyDescent="0.25"/>
    <row r="31" spans="1:14" s="14" customFormat="1" x14ac:dyDescent="0.25"/>
    <row r="32" spans="1:14" s="14" customFormat="1" x14ac:dyDescent="0.25">
      <c r="A32" s="169" t="s">
        <v>70</v>
      </c>
      <c r="B32" s="169"/>
      <c r="C32" s="169"/>
      <c r="D32" s="169"/>
      <c r="E32" s="169"/>
      <c r="F32" s="169"/>
      <c r="G32" s="169"/>
      <c r="H32" s="169"/>
      <c r="I32" s="169"/>
      <c r="J32" s="169"/>
      <c r="K32" s="169"/>
    </row>
    <row r="33" spans="1:14" s="14" customFormat="1" x14ac:dyDescent="0.25"/>
    <row r="35" spans="1:14" x14ac:dyDescent="0.25">
      <c r="A35" s="3" t="s">
        <v>79</v>
      </c>
    </row>
    <row r="37" spans="1:14" x14ac:dyDescent="0.25">
      <c r="A37" s="164" t="s">
        <v>71</v>
      </c>
      <c r="B37" s="164"/>
      <c r="C37" s="164"/>
      <c r="D37" s="164"/>
      <c r="E37" s="164"/>
      <c r="F37" s="164"/>
      <c r="G37" s="164"/>
      <c r="H37" s="164"/>
      <c r="I37" s="164"/>
      <c r="J37" s="164"/>
      <c r="K37" s="164"/>
    </row>
    <row r="39" spans="1:14" x14ac:dyDescent="0.25">
      <c r="B39" s="3" t="s">
        <v>226</v>
      </c>
      <c r="E39" s="117">
        <v>0.18</v>
      </c>
    </row>
    <row r="40" spans="1:14" x14ac:dyDescent="0.25">
      <c r="B40" s="3" t="s">
        <v>225</v>
      </c>
      <c r="E40" s="113">
        <v>12</v>
      </c>
    </row>
    <row r="42" spans="1:14" x14ac:dyDescent="0.25">
      <c r="B42" s="3" t="s">
        <v>224</v>
      </c>
      <c r="E42" s="145">
        <f>NOMINAL(E39,E40)</f>
        <v>0.16666116418091903</v>
      </c>
    </row>
    <row r="44" spans="1:14" s="14" customFormat="1" x14ac:dyDescent="0.25">
      <c r="A44" s="29" t="s">
        <v>7</v>
      </c>
      <c r="B44" s="12"/>
      <c r="C44" s="12"/>
      <c r="D44" s="12"/>
      <c r="E44" s="13"/>
      <c r="F44" s="12"/>
      <c r="G44" s="12"/>
      <c r="H44" s="12"/>
      <c r="I44" s="12"/>
      <c r="J44" s="12"/>
      <c r="K44" s="12"/>
      <c r="L44" s="12"/>
      <c r="M44" s="12"/>
      <c r="N44" s="12"/>
    </row>
    <row r="45" spans="1:14" s="14" customFormat="1" ht="15.75" customHeight="1" x14ac:dyDescent="0.25">
      <c r="A45" s="165" t="s">
        <v>72</v>
      </c>
      <c r="B45" s="165"/>
      <c r="C45" s="165"/>
      <c r="D45" s="165"/>
      <c r="E45" s="165"/>
      <c r="F45" s="165"/>
      <c r="G45" s="165"/>
      <c r="H45" s="165"/>
      <c r="I45" s="165"/>
      <c r="J45" s="165"/>
      <c r="K45" s="165"/>
      <c r="L45" s="12"/>
      <c r="M45" s="12"/>
      <c r="N45" s="12"/>
    </row>
    <row r="46" spans="1:14" s="14" customFormat="1" x14ac:dyDescent="0.25"/>
    <row r="47" spans="1:14" s="14" customFormat="1" x14ac:dyDescent="0.25"/>
    <row r="48" spans="1:14" s="14" customFormat="1" x14ac:dyDescent="0.25"/>
    <row r="49" spans="1:11" s="14" customFormat="1" x14ac:dyDescent="0.25"/>
    <row r="50" spans="1:11" s="14" customFormat="1" x14ac:dyDescent="0.25"/>
    <row r="51" spans="1:11" s="14" customFormat="1" x14ac:dyDescent="0.25"/>
    <row r="52" spans="1:11" s="14" customFormat="1" x14ac:dyDescent="0.25"/>
    <row r="53" spans="1:11" s="14" customFormat="1" x14ac:dyDescent="0.25"/>
    <row r="54" spans="1:11" s="14" customFormat="1" x14ac:dyDescent="0.25"/>
    <row r="55" spans="1:11" s="14" customFormat="1" x14ac:dyDescent="0.25"/>
    <row r="56" spans="1:11" s="14" customFormat="1" x14ac:dyDescent="0.25"/>
    <row r="57" spans="1:11" s="14" customFormat="1" x14ac:dyDescent="0.25"/>
    <row r="58" spans="1:11" s="14" customFormat="1" x14ac:dyDescent="0.25"/>
    <row r="59" spans="1:11" s="14" customFormat="1" x14ac:dyDescent="0.25"/>
    <row r="60" spans="1:11" s="14" customFormat="1" x14ac:dyDescent="0.25">
      <c r="A60" s="169" t="s">
        <v>73</v>
      </c>
      <c r="B60" s="169"/>
      <c r="C60" s="169"/>
      <c r="D60" s="169"/>
      <c r="E60" s="169"/>
      <c r="F60" s="169"/>
      <c r="G60" s="169"/>
      <c r="H60" s="169"/>
      <c r="I60" s="169"/>
      <c r="J60" s="169"/>
      <c r="K60" s="169"/>
    </row>
    <row r="61" spans="1:11" s="14" customFormat="1" x14ac:dyDescent="0.25"/>
    <row r="63" spans="1:11" x14ac:dyDescent="0.25">
      <c r="A63" s="173" t="s">
        <v>80</v>
      </c>
      <c r="B63" s="173"/>
      <c r="C63" s="173"/>
      <c r="D63" s="173"/>
      <c r="E63" s="173"/>
      <c r="F63" s="173"/>
      <c r="G63" s="173"/>
      <c r="H63" s="173"/>
      <c r="I63" s="173"/>
      <c r="J63" s="173"/>
      <c r="K63" s="173"/>
    </row>
    <row r="65" spans="1:14" x14ac:dyDescent="0.25">
      <c r="A65" s="164" t="s">
        <v>74</v>
      </c>
      <c r="B65" s="164"/>
      <c r="C65" s="164"/>
      <c r="D65" s="164"/>
      <c r="E65" s="164"/>
      <c r="F65" s="164"/>
      <c r="G65" s="164"/>
      <c r="H65" s="164"/>
      <c r="I65" s="164"/>
      <c r="J65" s="164"/>
      <c r="K65" s="164"/>
    </row>
    <row r="67" spans="1:14" x14ac:dyDescent="0.25">
      <c r="A67" s="166" t="s">
        <v>81</v>
      </c>
      <c r="B67" s="166"/>
      <c r="C67" s="166"/>
      <c r="D67" s="166"/>
      <c r="E67" s="166"/>
    </row>
    <row r="68" spans="1:14" ht="31.5" customHeight="1" x14ac:dyDescent="0.25">
      <c r="A68" s="164" t="s">
        <v>227</v>
      </c>
      <c r="B68" s="164"/>
      <c r="C68" s="164"/>
      <c r="D68" s="164"/>
      <c r="E68" s="164"/>
      <c r="F68" s="164"/>
      <c r="G68" s="164"/>
      <c r="H68" s="164"/>
      <c r="I68" s="164"/>
      <c r="J68" s="164"/>
      <c r="K68" s="164"/>
    </row>
    <row r="70" spans="1:14" x14ac:dyDescent="0.25">
      <c r="B70" s="3" t="s">
        <v>224</v>
      </c>
      <c r="C70" s="153">
        <v>0.1</v>
      </c>
    </row>
    <row r="72" spans="1:14" x14ac:dyDescent="0.25">
      <c r="B72" s="3" t="s">
        <v>226</v>
      </c>
      <c r="C72" s="163">
        <f>EXP(C70)-1</f>
        <v>0.10517091807564771</v>
      </c>
    </row>
    <row r="75" spans="1:14" s="14" customFormat="1" x14ac:dyDescent="0.25">
      <c r="A75" s="29" t="s">
        <v>7</v>
      </c>
      <c r="B75" s="12"/>
      <c r="C75" s="12"/>
      <c r="D75" s="12"/>
      <c r="E75" s="13"/>
      <c r="F75" s="12"/>
      <c r="G75" s="12"/>
      <c r="H75" s="12"/>
      <c r="I75" s="12"/>
      <c r="J75" s="12"/>
      <c r="K75" s="12"/>
      <c r="L75" s="12"/>
      <c r="M75" s="12"/>
      <c r="N75" s="12"/>
    </row>
    <row r="76" spans="1:14" s="14" customFormat="1" x14ac:dyDescent="0.25">
      <c r="A76" s="165" t="s">
        <v>75</v>
      </c>
      <c r="B76" s="165"/>
      <c r="C76" s="165"/>
      <c r="D76" s="165"/>
      <c r="E76" s="165"/>
      <c r="F76" s="165"/>
      <c r="G76" s="165"/>
      <c r="H76" s="165"/>
      <c r="I76" s="165"/>
      <c r="J76" s="165"/>
      <c r="K76" s="12"/>
      <c r="L76" s="12"/>
      <c r="M76" s="12"/>
      <c r="N76" s="12"/>
    </row>
    <row r="77" spans="1:14" s="14" customFormat="1" x14ac:dyDescent="0.25"/>
    <row r="78" spans="1:14" s="14" customFormat="1" x14ac:dyDescent="0.25"/>
    <row r="79" spans="1:14" s="14" customFormat="1" x14ac:dyDescent="0.25"/>
    <row r="80" spans="1:14" s="14" customFormat="1" x14ac:dyDescent="0.25"/>
    <row r="81" spans="1:11" s="14" customFormat="1" x14ac:dyDescent="0.25"/>
    <row r="82" spans="1:11" s="14" customFormat="1" x14ac:dyDescent="0.25"/>
    <row r="83" spans="1:11" s="14" customFormat="1" x14ac:dyDescent="0.25"/>
    <row r="84" spans="1:11" s="14" customFormat="1" x14ac:dyDescent="0.25"/>
    <row r="85" spans="1:11" s="14" customFormat="1" x14ac:dyDescent="0.25"/>
    <row r="86" spans="1:11" s="14" customFormat="1" x14ac:dyDescent="0.25"/>
    <row r="87" spans="1:11" s="14" customFormat="1" x14ac:dyDescent="0.25"/>
    <row r="88" spans="1:11" s="14" customFormat="1" x14ac:dyDescent="0.25"/>
    <row r="89" spans="1:11" s="14" customFormat="1" ht="47.25" customHeight="1" x14ac:dyDescent="0.25">
      <c r="A89" s="169" t="str">
        <f>"The sole argument of this Excel function is Number, which is the number we want to calculate the exponential value. If you notice, the function returns "&amp;ROUND(EXP(C70),9)&amp;" in this case. Since we are dealing with interest rates, we need to calculate the exponential function for the interest rate and then subtract 1 (one)."</f>
        <v>The sole argument of this Excel function is Number, which is the number we want to calculate the exponential value. If you notice, the function returns 1.105170918 in this case. Since we are dealing with interest rates, we need to calculate the exponential function for the interest rate and then subtract 1 (one).</v>
      </c>
      <c r="B89" s="169"/>
      <c r="C89" s="169"/>
      <c r="D89" s="169"/>
      <c r="E89" s="169"/>
      <c r="F89" s="169"/>
      <c r="G89" s="169"/>
      <c r="H89" s="169"/>
      <c r="I89" s="169"/>
      <c r="J89" s="169"/>
      <c r="K89" s="169"/>
    </row>
    <row r="90" spans="1:11" s="14" customFormat="1" x14ac:dyDescent="0.25"/>
  </sheetData>
  <mergeCells count="13">
    <mergeCell ref="A89:K89"/>
    <mergeCell ref="A67:E67"/>
    <mergeCell ref="A5:K5"/>
    <mergeCell ref="A17:K17"/>
    <mergeCell ref="A32:K32"/>
    <mergeCell ref="A37:K37"/>
    <mergeCell ref="A45:K45"/>
    <mergeCell ref="A60:K60"/>
    <mergeCell ref="A63:K63"/>
    <mergeCell ref="A65:K65"/>
    <mergeCell ref="A68:K68"/>
    <mergeCell ref="A76:J76"/>
    <mergeCell ref="B9:K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4"/>
  <sheetViews>
    <sheetView workbookViewId="0"/>
  </sheetViews>
  <sheetFormatPr defaultColWidth="9.140625" defaultRowHeight="15.75" x14ac:dyDescent="0.25"/>
  <cols>
    <col min="1" max="1" width="4.7109375" style="3" customWidth="1"/>
    <col min="2" max="3" width="14.7109375" style="3" customWidth="1"/>
    <col min="4" max="4" width="15.7109375" style="3" bestFit="1" customWidth="1"/>
    <col min="5" max="35" width="14.7109375" style="3" customWidth="1"/>
    <col min="36" max="67" width="10.7109375" style="3" customWidth="1"/>
    <col min="68" max="16384" width="9.140625" style="3"/>
  </cols>
  <sheetData>
    <row r="1" spans="1:11" ht="16.5" thickBot="1" x14ac:dyDescent="0.3"/>
    <row r="2" spans="1:11" ht="21" x14ac:dyDescent="0.35">
      <c r="B2" s="60" t="s">
        <v>95</v>
      </c>
      <c r="C2" s="67"/>
    </row>
    <row r="3" spans="1:11" ht="21.75" thickBot="1" x14ac:dyDescent="0.4">
      <c r="B3" s="33" t="s">
        <v>96</v>
      </c>
      <c r="C3" s="64"/>
    </row>
    <row r="5" spans="1:11" ht="31.5" customHeight="1" x14ac:dyDescent="0.25">
      <c r="A5" s="164" t="s">
        <v>97</v>
      </c>
      <c r="B5" s="164"/>
      <c r="C5" s="164"/>
      <c r="D5" s="164"/>
      <c r="E5" s="164"/>
      <c r="F5" s="164"/>
      <c r="G5" s="164"/>
      <c r="H5" s="164"/>
      <c r="I5" s="164"/>
      <c r="J5" s="164"/>
      <c r="K5" s="164"/>
    </row>
    <row r="7" spans="1:11" x14ac:dyDescent="0.25">
      <c r="A7" s="4" t="s">
        <v>82</v>
      </c>
    </row>
    <row r="9" spans="1:11" ht="31.5" customHeight="1" x14ac:dyDescent="0.25">
      <c r="A9" s="164" t="s">
        <v>200</v>
      </c>
      <c r="B9" s="164"/>
      <c r="C9" s="164"/>
      <c r="D9" s="164"/>
      <c r="E9" s="164"/>
      <c r="F9" s="164"/>
      <c r="G9" s="164"/>
      <c r="H9" s="164"/>
      <c r="I9" s="164"/>
      <c r="J9" s="164"/>
      <c r="K9" s="164"/>
    </row>
    <row r="11" spans="1:11" x14ac:dyDescent="0.25">
      <c r="A11" s="173" t="s">
        <v>98</v>
      </c>
      <c r="B11" s="173"/>
      <c r="C11" s="173"/>
      <c r="D11" s="173"/>
    </row>
    <row r="12" spans="1:11" x14ac:dyDescent="0.25">
      <c r="A12" s="164" t="s">
        <v>201</v>
      </c>
      <c r="B12" s="164"/>
      <c r="C12" s="164"/>
      <c r="D12" s="164"/>
      <c r="E12" s="164"/>
      <c r="F12" s="164"/>
      <c r="G12" s="164"/>
      <c r="H12" s="164"/>
      <c r="I12" s="164"/>
      <c r="J12" s="164"/>
      <c r="K12" s="164"/>
    </row>
    <row r="14" spans="1:11" x14ac:dyDescent="0.25">
      <c r="B14" s="3" t="s">
        <v>228</v>
      </c>
      <c r="D14" s="114">
        <v>50000</v>
      </c>
    </row>
    <row r="15" spans="1:11" x14ac:dyDescent="0.25">
      <c r="B15" s="3" t="s">
        <v>229</v>
      </c>
      <c r="D15" s="113">
        <v>20</v>
      </c>
    </row>
    <row r="16" spans="1:11" x14ac:dyDescent="0.25">
      <c r="B16" s="3" t="s">
        <v>36</v>
      </c>
      <c r="D16" s="117">
        <v>0.08</v>
      </c>
    </row>
    <row r="18" spans="1:14" x14ac:dyDescent="0.25">
      <c r="B18" s="3" t="s">
        <v>219</v>
      </c>
      <c r="D18" s="118">
        <f>PV(D16,D15,-D14)</f>
        <v>490907.37037246465</v>
      </c>
    </row>
    <row r="20" spans="1:14" s="14" customFormat="1" x14ac:dyDescent="0.25">
      <c r="A20" s="29" t="s">
        <v>7</v>
      </c>
      <c r="B20" s="12"/>
      <c r="C20" s="12"/>
      <c r="D20" s="12"/>
      <c r="E20" s="13"/>
      <c r="F20" s="12"/>
      <c r="G20" s="12"/>
      <c r="H20" s="12"/>
      <c r="I20" s="12"/>
      <c r="J20" s="12"/>
      <c r="K20" s="12"/>
      <c r="L20" s="12"/>
      <c r="M20" s="12"/>
      <c r="N20" s="12"/>
    </row>
    <row r="21" spans="1:14" s="14" customFormat="1" ht="15.75" customHeight="1" x14ac:dyDescent="0.25">
      <c r="A21" s="165" t="s">
        <v>83</v>
      </c>
      <c r="B21" s="165"/>
      <c r="C21" s="165"/>
      <c r="D21" s="165"/>
      <c r="E21" s="165"/>
      <c r="F21" s="165"/>
      <c r="G21" s="165"/>
      <c r="H21" s="165"/>
      <c r="I21" s="165"/>
      <c r="J21" s="165"/>
      <c r="K21" s="165"/>
      <c r="L21" s="12"/>
      <c r="M21" s="12"/>
      <c r="N21" s="12"/>
    </row>
    <row r="22" spans="1:14" s="14" customFormat="1" x14ac:dyDescent="0.25"/>
    <row r="23" spans="1:14" s="14" customFormat="1" x14ac:dyDescent="0.25"/>
    <row r="24" spans="1:14" s="14" customFormat="1" x14ac:dyDescent="0.25"/>
    <row r="25" spans="1:14" s="14" customFormat="1" x14ac:dyDescent="0.25"/>
    <row r="26" spans="1:14" s="14" customFormat="1" x14ac:dyDescent="0.25"/>
    <row r="27" spans="1:14" s="14" customFormat="1" x14ac:dyDescent="0.25"/>
    <row r="28" spans="1:14" s="14" customFormat="1" x14ac:dyDescent="0.25"/>
    <row r="29" spans="1:14" s="14" customFormat="1" x14ac:dyDescent="0.25"/>
    <row r="30" spans="1:14" s="14" customFormat="1" x14ac:dyDescent="0.25"/>
    <row r="31" spans="1:14" s="14" customFormat="1" x14ac:dyDescent="0.25"/>
    <row r="32" spans="1:14" s="14" customFormat="1" x14ac:dyDescent="0.25"/>
    <row r="33" spans="1:11" s="14" customFormat="1" x14ac:dyDescent="0.25"/>
    <row r="34" spans="1:11" s="14" customFormat="1" x14ac:dyDescent="0.25"/>
    <row r="35" spans="1:11" s="14" customFormat="1" x14ac:dyDescent="0.25"/>
    <row r="36" spans="1:11" s="14" customFormat="1" x14ac:dyDescent="0.25"/>
    <row r="37" spans="1:11" s="14" customFormat="1" x14ac:dyDescent="0.25"/>
    <row r="38" spans="1:11" s="14" customFormat="1" x14ac:dyDescent="0.25"/>
    <row r="39" spans="1:11" s="14" customFormat="1" ht="63" customHeight="1" x14ac:dyDescent="0.25">
      <c r="A39" s="169" t="s">
        <v>190</v>
      </c>
      <c r="B39" s="169"/>
      <c r="C39" s="169"/>
      <c r="D39" s="169"/>
      <c r="E39" s="169"/>
      <c r="F39" s="169"/>
      <c r="G39" s="169"/>
      <c r="H39" s="169"/>
      <c r="I39" s="169"/>
      <c r="J39" s="169"/>
      <c r="K39" s="169"/>
    </row>
    <row r="40" spans="1:11" s="14" customFormat="1" x14ac:dyDescent="0.25"/>
    <row r="42" spans="1:11" x14ac:dyDescent="0.25">
      <c r="A42" s="4" t="s">
        <v>91</v>
      </c>
    </row>
    <row r="44" spans="1:11" ht="31.5" customHeight="1" x14ac:dyDescent="0.25">
      <c r="A44" s="164" t="s">
        <v>92</v>
      </c>
      <c r="B44" s="164"/>
      <c r="C44" s="164"/>
      <c r="D44" s="164"/>
      <c r="E44" s="164"/>
      <c r="F44" s="164"/>
      <c r="G44" s="164"/>
      <c r="H44" s="164"/>
      <c r="I44" s="164"/>
      <c r="J44" s="164"/>
      <c r="K44" s="164"/>
    </row>
    <row r="46" spans="1:11" x14ac:dyDescent="0.25">
      <c r="A46" s="166" t="s">
        <v>100</v>
      </c>
      <c r="B46" s="166"/>
      <c r="C46" s="166"/>
      <c r="D46" s="166"/>
    </row>
    <row r="47" spans="1:11" x14ac:dyDescent="0.25">
      <c r="A47" s="3" t="s">
        <v>275</v>
      </c>
    </row>
    <row r="49" spans="1:14" x14ac:dyDescent="0.25">
      <c r="B49" s="3" t="s">
        <v>230</v>
      </c>
      <c r="D49" s="114">
        <v>3000</v>
      </c>
    </row>
    <row r="50" spans="1:14" x14ac:dyDescent="0.25">
      <c r="B50" s="3" t="s">
        <v>231</v>
      </c>
      <c r="D50" s="113">
        <v>30</v>
      </c>
    </row>
    <row r="51" spans="1:14" x14ac:dyDescent="0.25">
      <c r="B51" s="3" t="s">
        <v>36</v>
      </c>
      <c r="D51" s="117">
        <v>0.06</v>
      </c>
    </row>
    <row r="53" spans="1:14" x14ac:dyDescent="0.25">
      <c r="B53" s="3" t="s">
        <v>213</v>
      </c>
      <c r="D53" s="118">
        <f>FV(D51,D50,-D49)</f>
        <v>237174.558645663</v>
      </c>
    </row>
    <row r="55" spans="1:14" s="14" customFormat="1" x14ac:dyDescent="0.25">
      <c r="A55" s="29" t="s">
        <v>7</v>
      </c>
      <c r="B55" s="12"/>
      <c r="C55" s="12"/>
      <c r="D55" s="12"/>
      <c r="E55" s="13"/>
      <c r="F55" s="12"/>
      <c r="G55" s="12"/>
      <c r="H55" s="12"/>
      <c r="I55" s="12"/>
      <c r="J55" s="12"/>
      <c r="K55" s="12"/>
      <c r="L55" s="12"/>
      <c r="M55" s="12"/>
      <c r="N55" s="12"/>
    </row>
    <row r="56" spans="1:14" s="14" customFormat="1" x14ac:dyDescent="0.25">
      <c r="A56" s="165" t="s">
        <v>93</v>
      </c>
      <c r="B56" s="165"/>
      <c r="C56" s="165"/>
      <c r="D56" s="165"/>
      <c r="E56" s="165"/>
      <c r="F56" s="165"/>
      <c r="G56" s="165"/>
      <c r="H56" s="165"/>
      <c r="I56" s="165"/>
      <c r="J56" s="165"/>
      <c r="K56" s="12"/>
      <c r="L56" s="12"/>
      <c r="M56" s="12"/>
      <c r="N56" s="12"/>
    </row>
    <row r="57" spans="1:14" s="14" customFormat="1" x14ac:dyDescent="0.25"/>
    <row r="58" spans="1:14" s="14" customFormat="1" x14ac:dyDescent="0.25"/>
    <row r="59" spans="1:14" s="14" customFormat="1" x14ac:dyDescent="0.25"/>
    <row r="60" spans="1:14" s="14" customFormat="1" x14ac:dyDescent="0.25"/>
    <row r="61" spans="1:14" s="14" customFormat="1" x14ac:dyDescent="0.25"/>
    <row r="62" spans="1:14" s="14" customFormat="1" x14ac:dyDescent="0.25"/>
    <row r="63" spans="1:14" s="14" customFormat="1" x14ac:dyDescent="0.25"/>
    <row r="64" spans="1:14" s="14" customFormat="1" x14ac:dyDescent="0.25"/>
    <row r="65" spans="1:11" s="14" customFormat="1" x14ac:dyDescent="0.25"/>
    <row r="66" spans="1:11" s="14" customFormat="1" x14ac:dyDescent="0.25"/>
    <row r="67" spans="1:11" s="14" customFormat="1" x14ac:dyDescent="0.25"/>
    <row r="68" spans="1:11" s="14" customFormat="1" x14ac:dyDescent="0.25"/>
    <row r="69" spans="1:11" s="14" customFormat="1" x14ac:dyDescent="0.25"/>
    <row r="70" spans="1:11" s="14" customFormat="1" x14ac:dyDescent="0.25"/>
    <row r="71" spans="1:11" s="14" customFormat="1" x14ac:dyDescent="0.25"/>
    <row r="72" spans="1:11" s="14" customFormat="1" x14ac:dyDescent="0.25"/>
    <row r="73" spans="1:11" s="14" customFormat="1" x14ac:dyDescent="0.25"/>
    <row r="74" spans="1:11" s="14" customFormat="1" ht="63" customHeight="1" x14ac:dyDescent="0.25">
      <c r="A74" s="169" t="s">
        <v>190</v>
      </c>
      <c r="B74" s="169"/>
      <c r="C74" s="169"/>
      <c r="D74" s="169"/>
      <c r="E74" s="169"/>
      <c r="F74" s="169"/>
      <c r="G74" s="169"/>
      <c r="H74" s="169"/>
      <c r="I74" s="169"/>
      <c r="J74" s="169"/>
      <c r="K74" s="169"/>
    </row>
    <row r="75" spans="1:11" s="14" customFormat="1" x14ac:dyDescent="0.25"/>
    <row r="77" spans="1:11" ht="15.75" customHeight="1" x14ac:dyDescent="0.25">
      <c r="A77" s="164"/>
      <c r="B77" s="164"/>
      <c r="C77" s="164"/>
      <c r="D77" s="164"/>
      <c r="E77" s="164"/>
      <c r="F77" s="164"/>
      <c r="G77" s="164"/>
      <c r="H77" s="164"/>
      <c r="I77" s="164"/>
      <c r="J77" s="164"/>
      <c r="K77" s="164"/>
    </row>
    <row r="79" spans="1:11" x14ac:dyDescent="0.25">
      <c r="A79" s="166" t="s">
        <v>99</v>
      </c>
      <c r="B79" s="166"/>
      <c r="C79" s="166"/>
    </row>
    <row r="80" spans="1:11" x14ac:dyDescent="0.25">
      <c r="A80" s="164" t="s">
        <v>101</v>
      </c>
      <c r="B80" s="164"/>
      <c r="C80" s="164"/>
      <c r="D80" s="164"/>
      <c r="E80" s="164"/>
      <c r="F80" s="164"/>
      <c r="G80" s="164"/>
      <c r="H80" s="164"/>
      <c r="I80" s="164"/>
      <c r="J80" s="164"/>
      <c r="K80" s="164"/>
    </row>
    <row r="82" spans="1:14" x14ac:dyDescent="0.25">
      <c r="B82" s="3" t="s">
        <v>216</v>
      </c>
      <c r="E82" s="114">
        <v>175000</v>
      </c>
    </row>
    <row r="83" spans="1:14" x14ac:dyDescent="0.25">
      <c r="B83" s="3" t="s">
        <v>232</v>
      </c>
      <c r="E83" s="113">
        <v>240</v>
      </c>
    </row>
    <row r="84" spans="1:14" x14ac:dyDescent="0.25">
      <c r="B84" s="3" t="s">
        <v>233</v>
      </c>
      <c r="E84" s="153">
        <v>5.0000000000000001E-3</v>
      </c>
    </row>
    <row r="86" spans="1:14" x14ac:dyDescent="0.25">
      <c r="B86" s="3" t="s">
        <v>234</v>
      </c>
      <c r="E86" s="118">
        <f>PMT(E84,E83,-E82)</f>
        <v>1253.7543523367885</v>
      </c>
    </row>
    <row r="88" spans="1:14" s="14" customFormat="1" x14ac:dyDescent="0.25">
      <c r="A88" s="29" t="s">
        <v>7</v>
      </c>
      <c r="B88" s="12"/>
      <c r="C88" s="12"/>
      <c r="D88" s="12"/>
      <c r="E88" s="13"/>
      <c r="F88" s="12"/>
      <c r="G88" s="12"/>
      <c r="H88" s="12"/>
      <c r="I88" s="12"/>
      <c r="J88" s="12"/>
      <c r="K88" s="12"/>
      <c r="L88" s="12"/>
      <c r="M88" s="12"/>
      <c r="N88" s="12"/>
    </row>
    <row r="89" spans="1:14" s="14" customFormat="1" x14ac:dyDescent="0.25">
      <c r="A89" s="165" t="s">
        <v>84</v>
      </c>
      <c r="B89" s="165"/>
      <c r="C89" s="165"/>
      <c r="D89" s="165"/>
      <c r="E89" s="165"/>
      <c r="F89" s="165"/>
      <c r="G89" s="165"/>
      <c r="H89" s="165"/>
      <c r="I89" s="165"/>
      <c r="J89" s="165"/>
      <c r="K89" s="12"/>
      <c r="L89" s="12"/>
      <c r="M89" s="12"/>
      <c r="N89" s="12"/>
    </row>
    <row r="90" spans="1:14" s="14" customFormat="1" x14ac:dyDescent="0.25"/>
    <row r="91" spans="1:14" s="14" customFormat="1" x14ac:dyDescent="0.25"/>
    <row r="92" spans="1:14" s="14" customFormat="1" x14ac:dyDescent="0.25"/>
    <row r="93" spans="1:14" s="14" customFormat="1" x14ac:dyDescent="0.25"/>
    <row r="94" spans="1:14" s="14" customFormat="1" x14ac:dyDescent="0.25"/>
    <row r="95" spans="1:14" s="14" customFormat="1" x14ac:dyDescent="0.25"/>
    <row r="96" spans="1:14" s="14" customFormat="1" x14ac:dyDescent="0.25"/>
    <row r="97" spans="1:11" s="14" customFormat="1" x14ac:dyDescent="0.25"/>
    <row r="98" spans="1:11" s="14" customFormat="1" x14ac:dyDescent="0.25"/>
    <row r="99" spans="1:11" s="14" customFormat="1" x14ac:dyDescent="0.25"/>
    <row r="100" spans="1:11" s="14" customFormat="1" x14ac:dyDescent="0.25"/>
    <row r="101" spans="1:11" s="14" customFormat="1" x14ac:dyDescent="0.25"/>
    <row r="102" spans="1:11" s="14" customFormat="1" x14ac:dyDescent="0.25"/>
    <row r="103" spans="1:11" s="14" customFormat="1" x14ac:dyDescent="0.25"/>
    <row r="104" spans="1:11" s="14" customFormat="1" x14ac:dyDescent="0.25"/>
    <row r="105" spans="1:11" s="14" customFormat="1" x14ac:dyDescent="0.25"/>
    <row r="106" spans="1:11" s="14" customFormat="1" x14ac:dyDescent="0.25"/>
    <row r="107" spans="1:11" s="14" customFormat="1" ht="63" customHeight="1" x14ac:dyDescent="0.25">
      <c r="A107" s="169" t="s">
        <v>191</v>
      </c>
      <c r="B107" s="169"/>
      <c r="C107" s="169"/>
      <c r="D107" s="169"/>
      <c r="E107" s="169"/>
      <c r="F107" s="169"/>
      <c r="G107" s="169"/>
      <c r="H107" s="169"/>
      <c r="I107" s="169"/>
      <c r="J107" s="169"/>
      <c r="K107" s="169"/>
    </row>
    <row r="108" spans="1:11" s="14" customFormat="1" x14ac:dyDescent="0.25"/>
    <row r="110" spans="1:11" x14ac:dyDescent="0.25">
      <c r="A110" s="166" t="s">
        <v>57</v>
      </c>
      <c r="B110" s="166"/>
      <c r="C110" s="166"/>
    </row>
    <row r="111" spans="1:11" ht="31.5" customHeight="1" x14ac:dyDescent="0.25">
      <c r="A111" s="164" t="s">
        <v>85</v>
      </c>
      <c r="B111" s="164"/>
      <c r="C111" s="164"/>
      <c r="D111" s="164"/>
      <c r="E111" s="164"/>
      <c r="F111" s="164"/>
      <c r="G111" s="164"/>
      <c r="H111" s="164"/>
      <c r="I111" s="164"/>
      <c r="J111" s="164"/>
      <c r="K111" s="164"/>
    </row>
    <row r="113" spans="1:14" x14ac:dyDescent="0.25">
      <c r="B113" s="3" t="s">
        <v>235</v>
      </c>
      <c r="E113" s="114">
        <v>1500000</v>
      </c>
    </row>
    <row r="114" spans="1:14" x14ac:dyDescent="0.25">
      <c r="B114" s="3" t="s">
        <v>236</v>
      </c>
      <c r="E114" s="114">
        <v>4000</v>
      </c>
    </row>
    <row r="115" spans="1:14" x14ac:dyDescent="0.25">
      <c r="B115" s="3" t="s">
        <v>231</v>
      </c>
      <c r="E115" s="154">
        <v>35</v>
      </c>
    </row>
    <row r="117" spans="1:14" x14ac:dyDescent="0.25">
      <c r="B117" s="3" t="s">
        <v>36</v>
      </c>
      <c r="E117" s="155">
        <f>RATE(E115,-E114,,E113)</f>
        <v>0.11399963496651477</v>
      </c>
    </row>
    <row r="119" spans="1:14" s="14" customFormat="1" x14ac:dyDescent="0.25">
      <c r="A119" s="29" t="s">
        <v>7</v>
      </c>
      <c r="B119" s="12"/>
      <c r="C119" s="12"/>
      <c r="D119" s="12"/>
      <c r="E119" s="13"/>
      <c r="F119" s="12"/>
      <c r="G119" s="12"/>
      <c r="H119" s="12"/>
      <c r="I119" s="12"/>
      <c r="J119" s="12"/>
      <c r="K119" s="12"/>
      <c r="L119" s="12"/>
      <c r="M119" s="12"/>
      <c r="N119" s="12"/>
    </row>
    <row r="120" spans="1:14" s="14" customFormat="1" x14ac:dyDescent="0.25">
      <c r="A120" s="165" t="s">
        <v>86</v>
      </c>
      <c r="B120" s="165"/>
      <c r="C120" s="165"/>
      <c r="D120" s="165"/>
      <c r="E120" s="165"/>
      <c r="F120" s="165"/>
      <c r="G120" s="165"/>
      <c r="H120" s="165"/>
      <c r="I120" s="165"/>
      <c r="J120" s="165"/>
      <c r="K120" s="12"/>
      <c r="L120" s="12"/>
      <c r="M120" s="12"/>
      <c r="N120" s="12"/>
    </row>
    <row r="121" spans="1:14" s="14" customFormat="1" x14ac:dyDescent="0.25"/>
    <row r="122" spans="1:14" s="14" customFormat="1" x14ac:dyDescent="0.25"/>
    <row r="123" spans="1:14" s="14" customFormat="1" x14ac:dyDescent="0.25"/>
    <row r="124" spans="1:14" s="14" customFormat="1" x14ac:dyDescent="0.25"/>
    <row r="125" spans="1:14" s="14" customFormat="1" x14ac:dyDescent="0.25"/>
    <row r="126" spans="1:14" s="14" customFormat="1" x14ac:dyDescent="0.25"/>
    <row r="127" spans="1:14" s="14" customFormat="1" x14ac:dyDescent="0.25"/>
    <row r="128" spans="1:14" s="14" customFormat="1" x14ac:dyDescent="0.25"/>
    <row r="129" spans="1:11" s="14" customFormat="1" x14ac:dyDescent="0.25"/>
    <row r="130" spans="1:11" s="14" customFormat="1" x14ac:dyDescent="0.25"/>
    <row r="131" spans="1:11" s="14" customFormat="1" x14ac:dyDescent="0.25"/>
    <row r="132" spans="1:11" s="14" customFormat="1" x14ac:dyDescent="0.25"/>
    <row r="133" spans="1:11" s="14" customFormat="1" x14ac:dyDescent="0.25"/>
    <row r="134" spans="1:11" s="14" customFormat="1" x14ac:dyDescent="0.25"/>
    <row r="135" spans="1:11" s="14" customFormat="1" x14ac:dyDescent="0.25"/>
    <row r="136" spans="1:11" s="14" customFormat="1" x14ac:dyDescent="0.25"/>
    <row r="137" spans="1:11" s="14" customFormat="1" x14ac:dyDescent="0.25"/>
    <row r="138" spans="1:11" s="14" customFormat="1" x14ac:dyDescent="0.25"/>
    <row r="139" spans="1:11" s="14" customFormat="1" ht="47.25" customHeight="1" x14ac:dyDescent="0.25">
      <c r="A139" s="169" t="s">
        <v>87</v>
      </c>
      <c r="B139" s="169"/>
      <c r="C139" s="169"/>
      <c r="D139" s="169"/>
      <c r="E139" s="169"/>
      <c r="F139" s="169"/>
      <c r="G139" s="169"/>
      <c r="H139" s="169"/>
      <c r="I139" s="169"/>
      <c r="J139" s="169"/>
      <c r="K139" s="169"/>
    </row>
    <row r="140" spans="1:11" s="14" customFormat="1" x14ac:dyDescent="0.25"/>
    <row r="142" spans="1:11" x14ac:dyDescent="0.25">
      <c r="A142" s="4" t="s">
        <v>102</v>
      </c>
    </row>
    <row r="143" spans="1:11" x14ac:dyDescent="0.25">
      <c r="A143" s="164" t="s">
        <v>103</v>
      </c>
      <c r="B143" s="164"/>
      <c r="C143" s="164"/>
      <c r="D143" s="164"/>
      <c r="E143" s="164"/>
      <c r="F143" s="164"/>
      <c r="G143" s="164"/>
      <c r="H143" s="164"/>
      <c r="I143" s="164"/>
      <c r="J143" s="164"/>
      <c r="K143" s="164"/>
    </row>
    <row r="145" spans="1:11" x14ac:dyDescent="0.25">
      <c r="B145" s="3" t="s">
        <v>237</v>
      </c>
      <c r="E145" s="114">
        <v>3000</v>
      </c>
    </row>
    <row r="146" spans="1:11" x14ac:dyDescent="0.25">
      <c r="B146" s="3" t="s">
        <v>234</v>
      </c>
      <c r="E146" s="114">
        <v>50</v>
      </c>
    </row>
    <row r="147" spans="1:11" x14ac:dyDescent="0.25">
      <c r="B147" s="3" t="s">
        <v>233</v>
      </c>
      <c r="E147" s="156">
        <v>1.4999999999999999E-2</v>
      </c>
    </row>
    <row r="149" spans="1:11" x14ac:dyDescent="0.25">
      <c r="B149" s="3" t="s">
        <v>238</v>
      </c>
      <c r="E149" s="157">
        <f>NPER(E147,-E146,E145)</f>
        <v>154.65410856522377</v>
      </c>
    </row>
    <row r="150" spans="1:11" x14ac:dyDescent="0.25">
      <c r="B150" s="3" t="s">
        <v>239</v>
      </c>
      <c r="E150" s="157">
        <f>E149/12</f>
        <v>12.887842380435314</v>
      </c>
    </row>
    <row r="151" spans="1:11" x14ac:dyDescent="0.25">
      <c r="E151" s="65"/>
    </row>
    <row r="152" spans="1:11" x14ac:dyDescent="0.25">
      <c r="A152" s="164" t="s">
        <v>88</v>
      </c>
      <c r="B152" s="164"/>
      <c r="C152" s="164"/>
      <c r="D152" s="164"/>
      <c r="E152" s="164"/>
      <c r="F152" s="164"/>
      <c r="G152" s="164"/>
      <c r="H152" s="164"/>
      <c r="I152" s="164"/>
      <c r="J152" s="164"/>
      <c r="K152" s="164"/>
    </row>
    <row r="154" spans="1:11" s="14" customFormat="1" x14ac:dyDescent="0.25">
      <c r="A154" s="29" t="s">
        <v>7</v>
      </c>
      <c r="B154" s="12"/>
      <c r="C154" s="12"/>
      <c r="D154" s="12"/>
      <c r="E154" s="13"/>
      <c r="F154" s="12"/>
      <c r="G154" s="12"/>
      <c r="H154" s="12"/>
      <c r="I154" s="12"/>
      <c r="J154" s="12"/>
      <c r="K154" s="12"/>
    </row>
    <row r="155" spans="1:11" s="14" customFormat="1" x14ac:dyDescent="0.25">
      <c r="A155" s="165" t="s">
        <v>89</v>
      </c>
      <c r="B155" s="165"/>
      <c r="C155" s="165"/>
      <c r="D155" s="165"/>
      <c r="E155" s="165"/>
      <c r="F155" s="165"/>
      <c r="G155" s="165"/>
      <c r="H155" s="165"/>
      <c r="I155" s="165"/>
      <c r="J155" s="165"/>
      <c r="K155" s="12"/>
    </row>
    <row r="156" spans="1:11" s="14" customFormat="1" x14ac:dyDescent="0.25"/>
    <row r="157" spans="1:11" s="14" customFormat="1" x14ac:dyDescent="0.25"/>
    <row r="158" spans="1:11" s="14" customFormat="1" x14ac:dyDescent="0.25"/>
    <row r="159" spans="1:11" s="14" customFormat="1" x14ac:dyDescent="0.25"/>
    <row r="160" spans="1:11" s="14" customFormat="1" x14ac:dyDescent="0.25"/>
    <row r="161" spans="1:11" s="14" customFormat="1" x14ac:dyDescent="0.25"/>
    <row r="162" spans="1:11" s="14" customFormat="1" x14ac:dyDescent="0.25"/>
    <row r="163" spans="1:11" s="14" customFormat="1" x14ac:dyDescent="0.25"/>
    <row r="164" spans="1:11" s="14" customFormat="1" x14ac:dyDescent="0.25"/>
    <row r="165" spans="1:11" s="14" customFormat="1" x14ac:dyDescent="0.25"/>
    <row r="166" spans="1:11" s="14" customFormat="1" x14ac:dyDescent="0.25"/>
    <row r="167" spans="1:11" s="14" customFormat="1" x14ac:dyDescent="0.25"/>
    <row r="168" spans="1:11" s="14" customFormat="1" x14ac:dyDescent="0.25"/>
    <row r="169" spans="1:11" s="14" customFormat="1" x14ac:dyDescent="0.25"/>
    <row r="170" spans="1:11" s="14" customFormat="1" x14ac:dyDescent="0.25"/>
    <row r="171" spans="1:11" s="14" customFormat="1" x14ac:dyDescent="0.25"/>
    <row r="172" spans="1:11" s="14" customFormat="1" x14ac:dyDescent="0.25"/>
    <row r="173" spans="1:11" s="14" customFormat="1" x14ac:dyDescent="0.25"/>
    <row r="174" spans="1:11" s="14" customFormat="1" ht="47.25" customHeight="1" x14ac:dyDescent="0.25">
      <c r="A174" s="169" t="s">
        <v>90</v>
      </c>
      <c r="B174" s="169"/>
      <c r="C174" s="169"/>
      <c r="D174" s="169"/>
      <c r="E174" s="169"/>
      <c r="F174" s="169"/>
      <c r="G174" s="169"/>
      <c r="H174" s="169"/>
      <c r="I174" s="169"/>
      <c r="J174" s="169"/>
      <c r="K174" s="169"/>
    </row>
    <row r="175" spans="1:11" s="14" customFormat="1" x14ac:dyDescent="0.25"/>
    <row r="177" spans="1:11" x14ac:dyDescent="0.25">
      <c r="A177" s="166" t="s">
        <v>111</v>
      </c>
      <c r="B177" s="166"/>
      <c r="C177" s="166"/>
    </row>
    <row r="178" spans="1:11" x14ac:dyDescent="0.25">
      <c r="A178" s="164" t="s">
        <v>202</v>
      </c>
      <c r="B178" s="164"/>
      <c r="C178" s="164"/>
      <c r="D178" s="164"/>
      <c r="E178" s="164"/>
      <c r="F178" s="164"/>
      <c r="G178" s="164"/>
      <c r="H178" s="164"/>
      <c r="I178" s="164"/>
      <c r="J178" s="164"/>
      <c r="K178" s="164"/>
    </row>
    <row r="180" spans="1:11" x14ac:dyDescent="0.25">
      <c r="A180" s="4" t="s">
        <v>105</v>
      </c>
    </row>
    <row r="181" spans="1:11" x14ac:dyDescent="0.25">
      <c r="A181" s="174" t="s">
        <v>106</v>
      </c>
      <c r="B181" s="174"/>
      <c r="C181" s="174"/>
      <c r="D181" s="174"/>
      <c r="E181" s="174"/>
      <c r="F181" s="174"/>
      <c r="G181" s="174"/>
      <c r="H181" s="174"/>
      <c r="I181" s="174"/>
      <c r="J181" s="174"/>
      <c r="K181" s="174"/>
    </row>
    <row r="183" spans="1:11" x14ac:dyDescent="0.25">
      <c r="B183" s="3" t="s">
        <v>240</v>
      </c>
      <c r="D183" s="113">
        <v>4</v>
      </c>
    </row>
    <row r="184" spans="1:11" x14ac:dyDescent="0.25">
      <c r="B184" s="3" t="s">
        <v>241</v>
      </c>
      <c r="D184" s="114">
        <v>500</v>
      </c>
    </row>
    <row r="185" spans="1:11" x14ac:dyDescent="0.25">
      <c r="B185" s="3" t="s">
        <v>242</v>
      </c>
      <c r="D185" s="113">
        <v>6</v>
      </c>
    </row>
    <row r="186" spans="1:11" x14ac:dyDescent="0.25">
      <c r="B186" s="3" t="s">
        <v>36</v>
      </c>
      <c r="D186" s="117">
        <v>0.1</v>
      </c>
    </row>
    <row r="187" spans="1:11" x14ac:dyDescent="0.25">
      <c r="D187" s="5"/>
    </row>
    <row r="188" spans="1:11" x14ac:dyDescent="0.25">
      <c r="A188" s="3" t="s">
        <v>107</v>
      </c>
      <c r="D188" s="5"/>
    </row>
    <row r="189" spans="1:11" x14ac:dyDescent="0.25">
      <c r="D189" s="5"/>
    </row>
    <row r="190" spans="1:11" x14ac:dyDescent="0.25">
      <c r="B190" s="3" t="s">
        <v>243</v>
      </c>
      <c r="D190" s="158">
        <f>PV(D186,D183,-D184)</f>
        <v>1584.9327231746474</v>
      </c>
    </row>
    <row r="191" spans="1:11" x14ac:dyDescent="0.25">
      <c r="D191" s="5"/>
    </row>
    <row r="192" spans="1:11" ht="31.5" customHeight="1" x14ac:dyDescent="0.25">
      <c r="A192" s="164" t="s">
        <v>179</v>
      </c>
      <c r="B192" s="164"/>
      <c r="C192" s="164"/>
      <c r="D192" s="164"/>
      <c r="E192" s="164"/>
      <c r="F192" s="164"/>
      <c r="G192" s="164"/>
      <c r="H192" s="164"/>
      <c r="I192" s="164"/>
      <c r="J192" s="164"/>
      <c r="K192" s="164"/>
    </row>
    <row r="194" spans="1:11" x14ac:dyDescent="0.25">
      <c r="B194" s="3" t="s">
        <v>218</v>
      </c>
      <c r="D194" s="118">
        <f>PV(D186,D185-1,,-D190)</f>
        <v>984.11852343335147</v>
      </c>
    </row>
    <row r="196" spans="1:11" s="14" customFormat="1" x14ac:dyDescent="0.25">
      <c r="A196" s="29" t="s">
        <v>7</v>
      </c>
    </row>
    <row r="197" spans="1:11" s="14" customFormat="1" ht="47.25" customHeight="1" x14ac:dyDescent="0.25">
      <c r="A197" s="169" t="s">
        <v>108</v>
      </c>
      <c r="B197" s="169"/>
      <c r="C197" s="169"/>
      <c r="D197" s="169"/>
      <c r="E197" s="169"/>
      <c r="F197" s="169"/>
      <c r="G197" s="169"/>
      <c r="H197" s="169"/>
      <c r="I197" s="169"/>
      <c r="J197" s="169"/>
      <c r="K197" s="169"/>
    </row>
    <row r="198" spans="1:11" s="14" customFormat="1" x14ac:dyDescent="0.25"/>
    <row r="200" spans="1:11" x14ac:dyDescent="0.25">
      <c r="B200" s="3" t="s">
        <v>218</v>
      </c>
      <c r="D200" s="118">
        <f>PV(D186,D185-1,0,PV(D186,D183,D184))</f>
        <v>984.11852343335147</v>
      </c>
      <c r="E200" s="8"/>
    </row>
    <row r="202" spans="1:11" x14ac:dyDescent="0.25">
      <c r="A202" s="164" t="s">
        <v>109</v>
      </c>
      <c r="B202" s="164"/>
      <c r="C202" s="164"/>
      <c r="D202" s="164"/>
      <c r="E202" s="164"/>
      <c r="F202" s="164"/>
      <c r="G202" s="164"/>
      <c r="H202" s="164"/>
      <c r="I202" s="164"/>
      <c r="J202" s="164"/>
      <c r="K202" s="164"/>
    </row>
    <row r="204" spans="1:11" ht="15.75" customHeight="1" x14ac:dyDescent="0.25">
      <c r="B204" s="36" t="s">
        <v>1</v>
      </c>
      <c r="C204" s="38" t="s">
        <v>2</v>
      </c>
    </row>
    <row r="205" spans="1:11" ht="15.75" customHeight="1" x14ac:dyDescent="0.25">
      <c r="B205" s="39">
        <v>1</v>
      </c>
      <c r="C205" s="159">
        <v>0</v>
      </c>
    </row>
    <row r="206" spans="1:11" ht="15.75" customHeight="1" x14ac:dyDescent="0.25">
      <c r="B206" s="39">
        <v>2</v>
      </c>
      <c r="C206" s="159">
        <v>0</v>
      </c>
    </row>
    <row r="207" spans="1:11" ht="15.75" customHeight="1" x14ac:dyDescent="0.25">
      <c r="B207" s="39">
        <v>3</v>
      </c>
      <c r="C207" s="159">
        <v>0</v>
      </c>
    </row>
    <row r="208" spans="1:11" ht="15.75" customHeight="1" x14ac:dyDescent="0.25">
      <c r="B208" s="39">
        <v>4</v>
      </c>
      <c r="C208" s="159">
        <v>0</v>
      </c>
    </row>
    <row r="209" spans="1:11" x14ac:dyDescent="0.25">
      <c r="B209" s="39">
        <v>5</v>
      </c>
      <c r="C209" s="150">
        <v>0</v>
      </c>
    </row>
    <row r="210" spans="1:11" x14ac:dyDescent="0.25">
      <c r="B210" s="39">
        <v>6</v>
      </c>
      <c r="C210" s="150">
        <v>500</v>
      </c>
    </row>
    <row r="211" spans="1:11" x14ac:dyDescent="0.25">
      <c r="B211" s="39">
        <v>7</v>
      </c>
      <c r="C211" s="150">
        <v>500</v>
      </c>
    </row>
    <row r="212" spans="1:11" x14ac:dyDescent="0.25">
      <c r="B212" s="39">
        <v>8</v>
      </c>
      <c r="C212" s="150">
        <v>500</v>
      </c>
    </row>
    <row r="213" spans="1:11" x14ac:dyDescent="0.25">
      <c r="B213" s="39">
        <v>9</v>
      </c>
      <c r="C213" s="150">
        <v>500</v>
      </c>
    </row>
    <row r="214" spans="1:11" x14ac:dyDescent="0.25">
      <c r="B214" s="39">
        <v>10</v>
      </c>
      <c r="C214" s="150">
        <v>0</v>
      </c>
    </row>
    <row r="215" spans="1:11" x14ac:dyDescent="0.25">
      <c r="B215" s="39"/>
      <c r="C215" s="150"/>
    </row>
    <row r="216" spans="1:11" x14ac:dyDescent="0.25">
      <c r="B216" s="40" t="s">
        <v>36</v>
      </c>
      <c r="C216" s="160">
        <v>0.1</v>
      </c>
    </row>
    <row r="218" spans="1:11" x14ac:dyDescent="0.25">
      <c r="A218" s="174" t="s">
        <v>110</v>
      </c>
      <c r="B218" s="174"/>
      <c r="C218" s="174"/>
      <c r="D218" s="174"/>
      <c r="E218" s="174"/>
      <c r="F218" s="174"/>
      <c r="G218" s="174"/>
      <c r="H218" s="174"/>
      <c r="I218" s="174"/>
      <c r="J218" s="174"/>
      <c r="K218" s="174"/>
    </row>
    <row r="220" spans="1:11" x14ac:dyDescent="0.25">
      <c r="B220" s="3" t="s">
        <v>218</v>
      </c>
      <c r="D220" s="118">
        <f>NPV(C216,C205:C214)</f>
        <v>984.11852343335067</v>
      </c>
    </row>
    <row r="222" spans="1:11" x14ac:dyDescent="0.25">
      <c r="A222" s="4" t="s">
        <v>112</v>
      </c>
    </row>
    <row r="223" spans="1:11" ht="31.5" customHeight="1" x14ac:dyDescent="0.25">
      <c r="A223" s="164" t="s">
        <v>276</v>
      </c>
      <c r="B223" s="164"/>
      <c r="C223" s="164"/>
      <c r="D223" s="164"/>
      <c r="E223" s="164"/>
      <c r="F223" s="164"/>
      <c r="G223" s="164"/>
      <c r="H223" s="164"/>
      <c r="I223" s="164"/>
      <c r="J223" s="164"/>
      <c r="K223" s="164"/>
    </row>
    <row r="224" spans="1:11" ht="15.75" customHeight="1" x14ac:dyDescent="0.25">
      <c r="A224" s="54"/>
      <c r="B224" s="54"/>
      <c r="C224" s="54"/>
      <c r="D224" s="54"/>
      <c r="E224" s="54"/>
      <c r="F224" s="54"/>
      <c r="G224" s="54"/>
      <c r="H224" s="54"/>
      <c r="I224" s="54"/>
      <c r="J224" s="54"/>
      <c r="K224" s="54"/>
    </row>
    <row r="225" spans="1:11" ht="15.75" customHeight="1" x14ac:dyDescent="0.25">
      <c r="A225" s="56" t="s">
        <v>113</v>
      </c>
      <c r="B225" s="54"/>
      <c r="C225" s="54"/>
      <c r="D225" s="54"/>
      <c r="E225" s="54"/>
      <c r="F225" s="54"/>
      <c r="G225" s="54"/>
      <c r="H225" s="54"/>
      <c r="I225" s="54"/>
      <c r="J225" s="54"/>
      <c r="K225" s="54"/>
    </row>
    <row r="226" spans="1:11" ht="31.5" customHeight="1" x14ac:dyDescent="0.25">
      <c r="A226" s="164" t="s">
        <v>114</v>
      </c>
      <c r="B226" s="164"/>
      <c r="C226" s="164"/>
      <c r="D226" s="164"/>
      <c r="E226" s="164"/>
      <c r="F226" s="164"/>
      <c r="G226" s="164"/>
      <c r="H226" s="164"/>
      <c r="I226" s="164"/>
      <c r="J226" s="164"/>
      <c r="K226" s="164"/>
    </row>
    <row r="228" spans="1:11" x14ac:dyDescent="0.25">
      <c r="B228" s="3" t="s">
        <v>244</v>
      </c>
      <c r="E228" s="114">
        <v>50000</v>
      </c>
    </row>
    <row r="229" spans="1:11" x14ac:dyDescent="0.25">
      <c r="B229" s="3" t="s">
        <v>212</v>
      </c>
      <c r="E229" s="113">
        <v>20</v>
      </c>
    </row>
    <row r="230" spans="1:11" x14ac:dyDescent="0.25">
      <c r="B230" s="3" t="s">
        <v>36</v>
      </c>
      <c r="E230" s="117">
        <v>0.08</v>
      </c>
    </row>
    <row r="232" spans="1:11" x14ac:dyDescent="0.25">
      <c r="B232" s="3" t="s">
        <v>219</v>
      </c>
      <c r="E232" s="118">
        <f>PV(E230,E229,-E228,,1)</f>
        <v>530179.96000226191</v>
      </c>
    </row>
    <row r="234" spans="1:11" s="14" customFormat="1" x14ac:dyDescent="0.25">
      <c r="A234" s="29" t="s">
        <v>7</v>
      </c>
      <c r="B234" s="12"/>
      <c r="C234" s="12"/>
      <c r="D234" s="12"/>
      <c r="E234" s="13"/>
      <c r="F234" s="12"/>
      <c r="G234" s="12"/>
      <c r="H234" s="12"/>
      <c r="I234" s="12"/>
      <c r="J234" s="12"/>
    </row>
    <row r="235" spans="1:11" s="14" customFormat="1" ht="15.75" customHeight="1" x14ac:dyDescent="0.25">
      <c r="A235" s="165" t="s">
        <v>115</v>
      </c>
      <c r="B235" s="165"/>
      <c r="C235" s="165"/>
      <c r="D235" s="165"/>
      <c r="E235" s="165"/>
      <c r="F235" s="165"/>
      <c r="G235" s="165"/>
      <c r="H235" s="165"/>
      <c r="I235" s="165"/>
      <c r="J235" s="165"/>
      <c r="K235" s="165"/>
    </row>
    <row r="236" spans="1:11" s="14" customFormat="1" x14ac:dyDescent="0.25"/>
    <row r="237" spans="1:11" s="14" customFormat="1" x14ac:dyDescent="0.25"/>
    <row r="238" spans="1:11" s="14" customFormat="1" x14ac:dyDescent="0.25"/>
    <row r="239" spans="1:11" s="14" customFormat="1" x14ac:dyDescent="0.25"/>
    <row r="240" spans="1:11" s="14" customFormat="1" x14ac:dyDescent="0.25"/>
    <row r="241" spans="1:11" s="14" customFormat="1" x14ac:dyDescent="0.25"/>
    <row r="242" spans="1:11" s="14" customFormat="1" x14ac:dyDescent="0.25"/>
    <row r="243" spans="1:11" s="14" customFormat="1" x14ac:dyDescent="0.25"/>
    <row r="244" spans="1:11" s="14" customFormat="1" x14ac:dyDescent="0.25"/>
    <row r="245" spans="1:11" s="14" customFormat="1" x14ac:dyDescent="0.25"/>
    <row r="246" spans="1:11" s="14" customFormat="1" x14ac:dyDescent="0.25"/>
    <row r="247" spans="1:11" s="14" customFormat="1" x14ac:dyDescent="0.25"/>
    <row r="248" spans="1:11" s="14" customFormat="1" x14ac:dyDescent="0.25"/>
    <row r="249" spans="1:11" s="14" customFormat="1" x14ac:dyDescent="0.25"/>
    <row r="250" spans="1:11" s="14" customFormat="1" x14ac:dyDescent="0.25"/>
    <row r="251" spans="1:11" s="14" customFormat="1" x14ac:dyDescent="0.25"/>
    <row r="252" spans="1:11" s="14" customFormat="1" x14ac:dyDescent="0.25"/>
    <row r="253" spans="1:11" s="14" customFormat="1" ht="31.5" customHeight="1" x14ac:dyDescent="0.25">
      <c r="A253" s="169" t="s">
        <v>94</v>
      </c>
      <c r="B253" s="169"/>
      <c r="C253" s="169"/>
      <c r="D253" s="169"/>
      <c r="E253" s="169"/>
      <c r="F253" s="169"/>
      <c r="G253" s="169"/>
      <c r="H253" s="169"/>
      <c r="I253" s="169"/>
      <c r="J253" s="169"/>
      <c r="K253" s="169"/>
    </row>
    <row r="254" spans="1:11" s="14" customFormat="1" x14ac:dyDescent="0.25"/>
    <row r="256" spans="1:11" x14ac:dyDescent="0.25">
      <c r="A256" s="66" t="s">
        <v>116</v>
      </c>
      <c r="B256" s="66"/>
    </row>
    <row r="257" spans="1:11" x14ac:dyDescent="0.25">
      <c r="A257" s="3" t="s">
        <v>203</v>
      </c>
    </row>
    <row r="259" spans="1:11" x14ac:dyDescent="0.25">
      <c r="B259" s="3" t="s">
        <v>245</v>
      </c>
      <c r="D259" s="7">
        <v>450</v>
      </c>
    </row>
    <row r="260" spans="1:11" x14ac:dyDescent="0.25">
      <c r="B260" s="3" t="s">
        <v>246</v>
      </c>
      <c r="D260" s="27">
        <v>2</v>
      </c>
    </row>
    <row r="261" spans="1:11" x14ac:dyDescent="0.25">
      <c r="B261" s="3" t="s">
        <v>247</v>
      </c>
      <c r="D261" s="27">
        <v>20</v>
      </c>
    </row>
    <row r="262" spans="1:11" x14ac:dyDescent="0.25">
      <c r="B262" s="3" t="s">
        <v>226</v>
      </c>
      <c r="D262" s="5">
        <v>0.06</v>
      </c>
    </row>
    <row r="264" spans="1:11" x14ac:dyDescent="0.25">
      <c r="A264" s="164" t="s">
        <v>117</v>
      </c>
      <c r="B264" s="164"/>
      <c r="C264" s="164"/>
      <c r="D264" s="164"/>
      <c r="E264" s="164"/>
      <c r="F264" s="164"/>
      <c r="G264" s="164"/>
      <c r="H264" s="164"/>
      <c r="I264" s="164"/>
      <c r="J264" s="164"/>
      <c r="K264" s="164"/>
    </row>
    <row r="266" spans="1:11" x14ac:dyDescent="0.25">
      <c r="B266" s="3" t="s">
        <v>277</v>
      </c>
      <c r="D266" s="145">
        <f>(1+D262)^D260-1</f>
        <v>0.12360000000000015</v>
      </c>
    </row>
    <row r="268" spans="1:11" x14ac:dyDescent="0.25">
      <c r="A268" s="3" t="s">
        <v>118</v>
      </c>
    </row>
    <row r="270" spans="1:11" x14ac:dyDescent="0.25">
      <c r="B270" s="3" t="s">
        <v>218</v>
      </c>
      <c r="D270" s="118">
        <f>PV(D266,D261/D260,-D259)</f>
        <v>2505.5653147351268</v>
      </c>
    </row>
    <row r="272" spans="1:11" x14ac:dyDescent="0.25">
      <c r="A272" s="164" t="s">
        <v>119</v>
      </c>
      <c r="B272" s="164"/>
      <c r="C272" s="164"/>
      <c r="D272" s="164"/>
      <c r="E272" s="164"/>
      <c r="F272" s="164"/>
      <c r="G272" s="164"/>
      <c r="H272" s="164"/>
      <c r="I272" s="164"/>
      <c r="J272" s="164"/>
      <c r="K272" s="164"/>
    </row>
    <row r="274" spans="2:4" x14ac:dyDescent="0.25">
      <c r="B274" s="3" t="s">
        <v>218</v>
      </c>
      <c r="D274" s="118">
        <f>PV((1+D262)^D260-1,D261/D260,-D259)</f>
        <v>2505.5653147351268</v>
      </c>
    </row>
  </sheetData>
  <mergeCells count="36">
    <mergeCell ref="A177:C177"/>
    <mergeCell ref="A223:K223"/>
    <mergeCell ref="A235:K235"/>
    <mergeCell ref="A5:K5"/>
    <mergeCell ref="A11:D11"/>
    <mergeCell ref="A79:C79"/>
    <mergeCell ref="A46:D46"/>
    <mergeCell ref="A110:C110"/>
    <mergeCell ref="A9:K9"/>
    <mergeCell ref="A12:K12"/>
    <mergeCell ref="A21:K21"/>
    <mergeCell ref="A39:K39"/>
    <mergeCell ref="A155:J155"/>
    <mergeCell ref="A174:K174"/>
    <mergeCell ref="A44:K44"/>
    <mergeCell ref="A56:J56"/>
    <mergeCell ref="A74:K74"/>
    <mergeCell ref="A77:K77"/>
    <mergeCell ref="A107:K107"/>
    <mergeCell ref="A111:K111"/>
    <mergeCell ref="A120:J120"/>
    <mergeCell ref="A139:K139"/>
    <mergeCell ref="A143:K143"/>
    <mergeCell ref="A152:K152"/>
    <mergeCell ref="A80:K80"/>
    <mergeCell ref="A89:J89"/>
    <mergeCell ref="A178:K178"/>
    <mergeCell ref="A181:K181"/>
    <mergeCell ref="A197:K197"/>
    <mergeCell ref="A192:K192"/>
    <mergeCell ref="A253:K253"/>
    <mergeCell ref="A272:K272"/>
    <mergeCell ref="A202:K202"/>
    <mergeCell ref="A218:K218"/>
    <mergeCell ref="A226:K226"/>
    <mergeCell ref="A264:K26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workbookViewId="0"/>
  </sheetViews>
  <sheetFormatPr defaultColWidth="9.140625" defaultRowHeight="15.75" x14ac:dyDescent="0.25"/>
  <cols>
    <col min="1" max="1" width="4.7109375" style="3" customWidth="1"/>
    <col min="2" max="24" width="14.7109375" style="3" customWidth="1"/>
    <col min="25" max="54" width="10.7109375" style="3" customWidth="1"/>
    <col min="55" max="16384" width="9.140625" style="3"/>
  </cols>
  <sheetData>
    <row r="1" spans="1:11" ht="16.5" thickBot="1" x14ac:dyDescent="0.3"/>
    <row r="2" spans="1:11" ht="21" x14ac:dyDescent="0.35">
      <c r="B2" s="60" t="s">
        <v>175</v>
      </c>
      <c r="C2" s="32"/>
    </row>
    <row r="3" spans="1:11" ht="21.75" thickBot="1" x14ac:dyDescent="0.4">
      <c r="B3" s="33" t="s">
        <v>176</v>
      </c>
      <c r="C3" s="68"/>
    </row>
    <row r="5" spans="1:11" x14ac:dyDescent="0.25">
      <c r="A5" s="4" t="s">
        <v>120</v>
      </c>
    </row>
    <row r="7" spans="1:11" ht="31.5" customHeight="1" x14ac:dyDescent="0.25">
      <c r="A7" s="164" t="s">
        <v>278</v>
      </c>
      <c r="B7" s="164"/>
      <c r="C7" s="164"/>
      <c r="D7" s="164"/>
      <c r="E7" s="164"/>
      <c r="F7" s="164"/>
      <c r="G7" s="164"/>
      <c r="H7" s="164"/>
      <c r="I7" s="164"/>
      <c r="J7" s="164"/>
      <c r="K7" s="164"/>
    </row>
    <row r="9" spans="1:11" x14ac:dyDescent="0.25">
      <c r="B9" s="3" t="s">
        <v>141</v>
      </c>
      <c r="D9" s="114">
        <v>350000</v>
      </c>
    </row>
    <row r="10" spans="1:11" x14ac:dyDescent="0.25">
      <c r="B10" s="3" t="s">
        <v>36</v>
      </c>
      <c r="D10" s="117">
        <v>0.09</v>
      </c>
    </row>
    <row r="12" spans="1:11" x14ac:dyDescent="0.25">
      <c r="A12" s="3" t="s">
        <v>121</v>
      </c>
    </row>
    <row r="14" spans="1:11" x14ac:dyDescent="0.25">
      <c r="B14" s="3" t="s">
        <v>248</v>
      </c>
      <c r="D14" s="118">
        <f>D9/15</f>
        <v>23333.333333333332</v>
      </c>
    </row>
    <row r="16" spans="1:11" x14ac:dyDescent="0.25">
      <c r="A16" s="3" t="s">
        <v>122</v>
      </c>
    </row>
    <row r="18" spans="2:7" ht="31.5" x14ac:dyDescent="0.25">
      <c r="B18" s="41"/>
      <c r="C18" s="69" t="s">
        <v>123</v>
      </c>
      <c r="D18" s="69" t="s">
        <v>124</v>
      </c>
      <c r="E18" s="69" t="s">
        <v>125</v>
      </c>
      <c r="F18" s="69" t="s">
        <v>126</v>
      </c>
      <c r="G18" s="70" t="s">
        <v>127</v>
      </c>
    </row>
    <row r="19" spans="2:7" x14ac:dyDescent="0.25">
      <c r="B19" s="39">
        <v>1</v>
      </c>
      <c r="C19" s="119">
        <f>D9</f>
        <v>350000</v>
      </c>
      <c r="D19" s="119">
        <f>F19+E19</f>
        <v>54833.333333333328</v>
      </c>
      <c r="E19" s="119">
        <f>C19*$D$10</f>
        <v>31500</v>
      </c>
      <c r="F19" s="119">
        <f>$D$14</f>
        <v>23333.333333333332</v>
      </c>
      <c r="G19" s="120">
        <f>C19-F19</f>
        <v>326666.66666666669</v>
      </c>
    </row>
    <row r="20" spans="2:7" x14ac:dyDescent="0.25">
      <c r="B20" s="39">
        <v>2</v>
      </c>
      <c r="C20" s="121">
        <f>G19</f>
        <v>326666.66666666669</v>
      </c>
      <c r="D20" s="121">
        <f>F20+E20</f>
        <v>52733.333333333328</v>
      </c>
      <c r="E20" s="121">
        <f>C20*$D$10</f>
        <v>29400</v>
      </c>
      <c r="F20" s="121">
        <f>$D$14</f>
        <v>23333.333333333332</v>
      </c>
      <c r="G20" s="122">
        <f>C20-F20</f>
        <v>303333.33333333337</v>
      </c>
    </row>
    <row r="21" spans="2:7" x14ac:dyDescent="0.25">
      <c r="B21" s="39">
        <v>3</v>
      </c>
      <c r="C21" s="121">
        <f t="shared" ref="C21:C33" si="0">G20</f>
        <v>303333.33333333337</v>
      </c>
      <c r="D21" s="121">
        <f t="shared" ref="D21:D33" si="1">F21+E21</f>
        <v>50633.333333333336</v>
      </c>
      <c r="E21" s="121">
        <f t="shared" ref="E21:E33" si="2">C21*$D$10</f>
        <v>27300.000000000004</v>
      </c>
      <c r="F21" s="121">
        <f t="shared" ref="F21:F33" si="3">$D$14</f>
        <v>23333.333333333332</v>
      </c>
      <c r="G21" s="122">
        <f t="shared" ref="G21:G33" si="4">C21-F21</f>
        <v>280000.00000000006</v>
      </c>
    </row>
    <row r="22" spans="2:7" x14ac:dyDescent="0.25">
      <c r="B22" s="39">
        <v>4</v>
      </c>
      <c r="C22" s="121">
        <f t="shared" si="0"/>
        <v>280000.00000000006</v>
      </c>
      <c r="D22" s="121">
        <f t="shared" si="1"/>
        <v>48533.333333333336</v>
      </c>
      <c r="E22" s="121">
        <f t="shared" si="2"/>
        <v>25200.000000000004</v>
      </c>
      <c r="F22" s="121">
        <f t="shared" si="3"/>
        <v>23333.333333333332</v>
      </c>
      <c r="G22" s="122">
        <f t="shared" si="4"/>
        <v>256666.66666666672</v>
      </c>
    </row>
    <row r="23" spans="2:7" x14ac:dyDescent="0.25">
      <c r="B23" s="39">
        <v>5</v>
      </c>
      <c r="C23" s="121">
        <f t="shared" si="0"/>
        <v>256666.66666666672</v>
      </c>
      <c r="D23" s="121">
        <f t="shared" si="1"/>
        <v>46433.333333333336</v>
      </c>
      <c r="E23" s="121">
        <f t="shared" si="2"/>
        <v>23100.000000000004</v>
      </c>
      <c r="F23" s="121">
        <f t="shared" si="3"/>
        <v>23333.333333333332</v>
      </c>
      <c r="G23" s="122">
        <f t="shared" si="4"/>
        <v>233333.33333333337</v>
      </c>
    </row>
    <row r="24" spans="2:7" x14ac:dyDescent="0.25">
      <c r="B24" s="39">
        <v>6</v>
      </c>
      <c r="C24" s="121">
        <f t="shared" si="0"/>
        <v>233333.33333333337</v>
      </c>
      <c r="D24" s="121">
        <f t="shared" si="1"/>
        <v>44333.333333333336</v>
      </c>
      <c r="E24" s="121">
        <f t="shared" si="2"/>
        <v>21000.000000000004</v>
      </c>
      <c r="F24" s="121">
        <f t="shared" si="3"/>
        <v>23333.333333333332</v>
      </c>
      <c r="G24" s="122">
        <f t="shared" si="4"/>
        <v>210000.00000000003</v>
      </c>
    </row>
    <row r="25" spans="2:7" x14ac:dyDescent="0.25">
      <c r="B25" s="39">
        <v>7</v>
      </c>
      <c r="C25" s="121">
        <f t="shared" si="0"/>
        <v>210000.00000000003</v>
      </c>
      <c r="D25" s="121">
        <f t="shared" si="1"/>
        <v>42233.333333333336</v>
      </c>
      <c r="E25" s="121">
        <f t="shared" si="2"/>
        <v>18900.000000000004</v>
      </c>
      <c r="F25" s="121">
        <f t="shared" si="3"/>
        <v>23333.333333333332</v>
      </c>
      <c r="G25" s="122">
        <f t="shared" si="4"/>
        <v>186666.66666666669</v>
      </c>
    </row>
    <row r="26" spans="2:7" x14ac:dyDescent="0.25">
      <c r="B26" s="39">
        <v>8</v>
      </c>
      <c r="C26" s="121">
        <f t="shared" si="0"/>
        <v>186666.66666666669</v>
      </c>
      <c r="D26" s="121">
        <f t="shared" si="1"/>
        <v>40133.333333333328</v>
      </c>
      <c r="E26" s="121">
        <f t="shared" si="2"/>
        <v>16800</v>
      </c>
      <c r="F26" s="121">
        <f t="shared" si="3"/>
        <v>23333.333333333332</v>
      </c>
      <c r="G26" s="122">
        <f t="shared" si="4"/>
        <v>163333.33333333334</v>
      </c>
    </row>
    <row r="27" spans="2:7" x14ac:dyDescent="0.25">
      <c r="B27" s="39">
        <v>9</v>
      </c>
      <c r="C27" s="121">
        <f t="shared" si="0"/>
        <v>163333.33333333334</v>
      </c>
      <c r="D27" s="121">
        <f t="shared" si="1"/>
        <v>38033.333333333328</v>
      </c>
      <c r="E27" s="121">
        <f t="shared" si="2"/>
        <v>14700</v>
      </c>
      <c r="F27" s="121">
        <f t="shared" si="3"/>
        <v>23333.333333333332</v>
      </c>
      <c r="G27" s="122">
        <f t="shared" si="4"/>
        <v>140000</v>
      </c>
    </row>
    <row r="28" spans="2:7" x14ac:dyDescent="0.25">
      <c r="B28" s="39">
        <v>10</v>
      </c>
      <c r="C28" s="121">
        <f t="shared" si="0"/>
        <v>140000</v>
      </c>
      <c r="D28" s="121">
        <f t="shared" si="1"/>
        <v>35933.333333333328</v>
      </c>
      <c r="E28" s="121">
        <f t="shared" si="2"/>
        <v>12600</v>
      </c>
      <c r="F28" s="121">
        <f t="shared" si="3"/>
        <v>23333.333333333332</v>
      </c>
      <c r="G28" s="122">
        <f t="shared" si="4"/>
        <v>116666.66666666667</v>
      </c>
    </row>
    <row r="29" spans="2:7" x14ac:dyDescent="0.25">
      <c r="B29" s="39">
        <v>11</v>
      </c>
      <c r="C29" s="121">
        <f t="shared" si="0"/>
        <v>116666.66666666667</v>
      </c>
      <c r="D29" s="121">
        <f t="shared" si="1"/>
        <v>33833.333333333328</v>
      </c>
      <c r="E29" s="121">
        <f t="shared" si="2"/>
        <v>10500</v>
      </c>
      <c r="F29" s="121">
        <f t="shared" si="3"/>
        <v>23333.333333333332</v>
      </c>
      <c r="G29" s="122">
        <f t="shared" si="4"/>
        <v>93333.333333333343</v>
      </c>
    </row>
    <row r="30" spans="2:7" x14ac:dyDescent="0.25">
      <c r="B30" s="39">
        <v>12</v>
      </c>
      <c r="C30" s="121">
        <f t="shared" si="0"/>
        <v>93333.333333333343</v>
      </c>
      <c r="D30" s="121">
        <f t="shared" si="1"/>
        <v>31733.333333333332</v>
      </c>
      <c r="E30" s="121">
        <f t="shared" si="2"/>
        <v>8400</v>
      </c>
      <c r="F30" s="121">
        <f t="shared" si="3"/>
        <v>23333.333333333332</v>
      </c>
      <c r="G30" s="122">
        <f t="shared" si="4"/>
        <v>70000.000000000015</v>
      </c>
    </row>
    <row r="31" spans="2:7" x14ac:dyDescent="0.25">
      <c r="B31" s="39">
        <v>13</v>
      </c>
      <c r="C31" s="121">
        <f t="shared" si="0"/>
        <v>70000.000000000015</v>
      </c>
      <c r="D31" s="121">
        <f t="shared" si="1"/>
        <v>29633.333333333332</v>
      </c>
      <c r="E31" s="121">
        <f t="shared" si="2"/>
        <v>6300.0000000000009</v>
      </c>
      <c r="F31" s="121">
        <f t="shared" si="3"/>
        <v>23333.333333333332</v>
      </c>
      <c r="G31" s="122">
        <f t="shared" si="4"/>
        <v>46666.666666666686</v>
      </c>
    </row>
    <row r="32" spans="2:7" x14ac:dyDescent="0.25">
      <c r="B32" s="39">
        <v>14</v>
      </c>
      <c r="C32" s="121">
        <f t="shared" si="0"/>
        <v>46666.666666666686</v>
      </c>
      <c r="D32" s="121">
        <f t="shared" si="1"/>
        <v>27533.333333333336</v>
      </c>
      <c r="E32" s="121">
        <f t="shared" si="2"/>
        <v>4200.0000000000018</v>
      </c>
      <c r="F32" s="121">
        <f t="shared" si="3"/>
        <v>23333.333333333332</v>
      </c>
      <c r="G32" s="122">
        <f t="shared" si="4"/>
        <v>23333.333333333354</v>
      </c>
    </row>
    <row r="33" spans="1:14" x14ac:dyDescent="0.25">
      <c r="B33" s="39">
        <v>15</v>
      </c>
      <c r="C33" s="121">
        <f t="shared" si="0"/>
        <v>23333.333333333354</v>
      </c>
      <c r="D33" s="123">
        <f t="shared" si="1"/>
        <v>25433.333333333336</v>
      </c>
      <c r="E33" s="123">
        <f t="shared" si="2"/>
        <v>2100.0000000000018</v>
      </c>
      <c r="F33" s="123">
        <f t="shared" si="3"/>
        <v>23333.333333333332</v>
      </c>
      <c r="G33" s="122">
        <f t="shared" si="4"/>
        <v>0</v>
      </c>
    </row>
    <row r="34" spans="1:14" x14ac:dyDescent="0.25">
      <c r="B34" s="40" t="s">
        <v>128</v>
      </c>
      <c r="C34" s="123"/>
      <c r="D34" s="125">
        <f>SUM(D19:D33)</f>
        <v>602000</v>
      </c>
      <c r="E34" s="125">
        <f t="shared" ref="E34:F34" si="5">SUM(E19:E33)</f>
        <v>252000</v>
      </c>
      <c r="F34" s="125">
        <f t="shared" si="5"/>
        <v>350000</v>
      </c>
      <c r="G34" s="149"/>
    </row>
    <row r="36" spans="1:14" s="14" customFormat="1" x14ac:dyDescent="0.25">
      <c r="A36" s="29" t="s">
        <v>7</v>
      </c>
      <c r="B36" s="12"/>
      <c r="C36" s="12"/>
      <c r="D36" s="12"/>
      <c r="E36" s="13"/>
      <c r="F36" s="12"/>
      <c r="G36" s="12"/>
      <c r="H36" s="12"/>
      <c r="I36" s="12"/>
      <c r="J36" s="12"/>
      <c r="K36" s="12"/>
      <c r="L36" s="12"/>
      <c r="M36" s="12"/>
      <c r="N36" s="12"/>
    </row>
    <row r="37" spans="1:14" s="14" customFormat="1" ht="81" customHeight="1" x14ac:dyDescent="0.25">
      <c r="A37" s="165" t="s">
        <v>204</v>
      </c>
      <c r="B37" s="165"/>
      <c r="C37" s="165"/>
      <c r="D37" s="165"/>
      <c r="E37" s="165"/>
      <c r="F37" s="165"/>
      <c r="G37" s="165"/>
      <c r="H37" s="165"/>
      <c r="I37" s="165"/>
      <c r="J37" s="165"/>
      <c r="K37" s="165"/>
      <c r="L37" s="12"/>
      <c r="M37" s="12"/>
      <c r="N37" s="12"/>
    </row>
    <row r="38" spans="1:14" s="14" customFormat="1" ht="15.75" customHeight="1" x14ac:dyDescent="0.25">
      <c r="A38" s="55"/>
      <c r="B38" s="55"/>
      <c r="C38" s="55"/>
      <c r="D38" s="55"/>
      <c r="E38" s="55"/>
      <c r="F38" s="55"/>
      <c r="G38" s="55"/>
      <c r="H38" s="55"/>
      <c r="I38" s="55"/>
      <c r="J38" s="55"/>
      <c r="K38" s="55"/>
      <c r="L38" s="12"/>
      <c r="M38" s="12"/>
      <c r="N38" s="12"/>
    </row>
    <row r="40" spans="1:14" x14ac:dyDescent="0.25">
      <c r="A40" s="4" t="s">
        <v>129</v>
      </c>
    </row>
    <row r="41" spans="1:14" x14ac:dyDescent="0.25">
      <c r="A41" s="4"/>
    </row>
    <row r="42" spans="1:14" ht="31.5" customHeight="1" x14ac:dyDescent="0.25">
      <c r="A42" s="164" t="s">
        <v>130</v>
      </c>
      <c r="B42" s="164"/>
      <c r="C42" s="164"/>
      <c r="D42" s="164"/>
      <c r="E42" s="164"/>
      <c r="F42" s="164"/>
      <c r="G42" s="164"/>
      <c r="H42" s="164"/>
      <c r="I42" s="164"/>
      <c r="J42" s="164"/>
      <c r="K42" s="164"/>
    </row>
    <row r="44" spans="1:14" x14ac:dyDescent="0.25">
      <c r="B44" s="3" t="s">
        <v>141</v>
      </c>
      <c r="D44" s="114">
        <v>350000</v>
      </c>
    </row>
    <row r="45" spans="1:14" x14ac:dyDescent="0.25">
      <c r="B45" s="3" t="s">
        <v>36</v>
      </c>
      <c r="D45" s="117">
        <v>0.09</v>
      </c>
    </row>
    <row r="47" spans="1:14" x14ac:dyDescent="0.25">
      <c r="A47" s="164" t="s">
        <v>131</v>
      </c>
      <c r="B47" s="164"/>
      <c r="C47" s="164"/>
      <c r="D47" s="164"/>
      <c r="E47" s="164"/>
      <c r="F47" s="164"/>
      <c r="G47" s="164"/>
      <c r="H47" s="164"/>
      <c r="I47" s="164"/>
      <c r="J47" s="164"/>
      <c r="K47" s="164"/>
    </row>
    <row r="49" spans="1:11" x14ac:dyDescent="0.25">
      <c r="B49" s="3" t="s">
        <v>249</v>
      </c>
      <c r="D49" s="118">
        <f>PMT(D45,15,-D44)</f>
        <v>43420.608927608526</v>
      </c>
    </row>
    <row r="51" spans="1:11" x14ac:dyDescent="0.25">
      <c r="A51" s="164" t="s">
        <v>132</v>
      </c>
      <c r="B51" s="164"/>
      <c r="C51" s="164"/>
      <c r="D51" s="164"/>
      <c r="E51" s="164"/>
      <c r="F51" s="164"/>
      <c r="G51" s="164"/>
      <c r="H51" s="164"/>
      <c r="I51" s="164"/>
      <c r="J51" s="164"/>
      <c r="K51" s="164"/>
    </row>
    <row r="53" spans="1:11" ht="31.5" x14ac:dyDescent="0.25">
      <c r="B53" s="41"/>
      <c r="C53" s="69" t="s">
        <v>123</v>
      </c>
      <c r="D53" s="69" t="s">
        <v>124</v>
      </c>
      <c r="E53" s="69" t="s">
        <v>125</v>
      </c>
      <c r="F53" s="69" t="s">
        <v>126</v>
      </c>
      <c r="G53" s="70" t="s">
        <v>127</v>
      </c>
    </row>
    <row r="54" spans="1:11" x14ac:dyDescent="0.25">
      <c r="B54" s="39">
        <v>1</v>
      </c>
      <c r="C54" s="119">
        <f>D44</f>
        <v>350000</v>
      </c>
      <c r="D54" s="119">
        <f>$D$49</f>
        <v>43420.608927608526</v>
      </c>
      <c r="E54" s="119">
        <f>C54*$D$45</f>
        <v>31500</v>
      </c>
      <c r="F54" s="119">
        <f>D54-E54</f>
        <v>11920.608927608526</v>
      </c>
      <c r="G54" s="120">
        <f>C54-F54</f>
        <v>338079.39107239147</v>
      </c>
    </row>
    <row r="55" spans="1:11" x14ac:dyDescent="0.25">
      <c r="B55" s="39">
        <v>2</v>
      </c>
      <c r="C55" s="121">
        <f>G54</f>
        <v>338079.39107239147</v>
      </c>
      <c r="D55" s="121">
        <f>$D$49</f>
        <v>43420.608927608526</v>
      </c>
      <c r="E55" s="121">
        <f t="shared" ref="E55:E68" si="6">C55*$D$45</f>
        <v>30427.14519651523</v>
      </c>
      <c r="F55" s="121">
        <f>D55-E55</f>
        <v>12993.463731093296</v>
      </c>
      <c r="G55" s="122">
        <f>C55-F55</f>
        <v>325085.9273412982</v>
      </c>
    </row>
    <row r="56" spans="1:11" x14ac:dyDescent="0.25">
      <c r="B56" s="39">
        <v>3</v>
      </c>
      <c r="C56" s="121">
        <f t="shared" ref="C56:C68" si="7">G55</f>
        <v>325085.9273412982</v>
      </c>
      <c r="D56" s="121">
        <f t="shared" ref="D56:D68" si="8">$D$49</f>
        <v>43420.608927608526</v>
      </c>
      <c r="E56" s="121">
        <f t="shared" si="6"/>
        <v>29257.733460716838</v>
      </c>
      <c r="F56" s="121">
        <f t="shared" ref="F56:F68" si="9">D56-E56</f>
        <v>14162.875466891688</v>
      </c>
      <c r="G56" s="122">
        <f t="shared" ref="G56:G68" si="10">C56-F56</f>
        <v>310923.05187440652</v>
      </c>
    </row>
    <row r="57" spans="1:11" x14ac:dyDescent="0.25">
      <c r="B57" s="39">
        <v>4</v>
      </c>
      <c r="C57" s="121">
        <f t="shared" si="7"/>
        <v>310923.05187440652</v>
      </c>
      <c r="D57" s="121">
        <f t="shared" si="8"/>
        <v>43420.608927608526</v>
      </c>
      <c r="E57" s="121">
        <f t="shared" si="6"/>
        <v>27983.074668696587</v>
      </c>
      <c r="F57" s="121">
        <f t="shared" si="9"/>
        <v>15437.534258911939</v>
      </c>
      <c r="G57" s="122">
        <f t="shared" si="10"/>
        <v>295485.51761549455</v>
      </c>
    </row>
    <row r="58" spans="1:11" x14ac:dyDescent="0.25">
      <c r="B58" s="39">
        <v>5</v>
      </c>
      <c r="C58" s="121">
        <f t="shared" si="7"/>
        <v>295485.51761549455</v>
      </c>
      <c r="D58" s="121">
        <f t="shared" si="8"/>
        <v>43420.608927608526</v>
      </c>
      <c r="E58" s="121">
        <f t="shared" si="6"/>
        <v>26593.696585394508</v>
      </c>
      <c r="F58" s="121">
        <f t="shared" si="9"/>
        <v>16826.912342214018</v>
      </c>
      <c r="G58" s="122">
        <f t="shared" si="10"/>
        <v>278658.60527328053</v>
      </c>
    </row>
    <row r="59" spans="1:11" x14ac:dyDescent="0.25">
      <c r="B59" s="39">
        <v>6</v>
      </c>
      <c r="C59" s="121">
        <f t="shared" si="7"/>
        <v>278658.60527328053</v>
      </c>
      <c r="D59" s="121">
        <f t="shared" si="8"/>
        <v>43420.608927608526</v>
      </c>
      <c r="E59" s="121">
        <f t="shared" si="6"/>
        <v>25079.274474595248</v>
      </c>
      <c r="F59" s="121">
        <f t="shared" si="9"/>
        <v>18341.334453013278</v>
      </c>
      <c r="G59" s="122">
        <f t="shared" si="10"/>
        <v>260317.27082026724</v>
      </c>
    </row>
    <row r="60" spans="1:11" x14ac:dyDescent="0.25">
      <c r="B60" s="39">
        <v>7</v>
      </c>
      <c r="C60" s="121">
        <f t="shared" si="7"/>
        <v>260317.27082026724</v>
      </c>
      <c r="D60" s="121">
        <f t="shared" si="8"/>
        <v>43420.608927608526</v>
      </c>
      <c r="E60" s="121">
        <f t="shared" si="6"/>
        <v>23428.554373824052</v>
      </c>
      <c r="F60" s="121">
        <f t="shared" si="9"/>
        <v>19992.054553784474</v>
      </c>
      <c r="G60" s="122">
        <f t="shared" si="10"/>
        <v>240325.21626648278</v>
      </c>
    </row>
    <row r="61" spans="1:11" x14ac:dyDescent="0.25">
      <c r="B61" s="39">
        <v>8</v>
      </c>
      <c r="C61" s="121">
        <f t="shared" si="7"/>
        <v>240325.21626648278</v>
      </c>
      <c r="D61" s="121">
        <f t="shared" si="8"/>
        <v>43420.608927608526</v>
      </c>
      <c r="E61" s="121">
        <f t="shared" si="6"/>
        <v>21629.269463983448</v>
      </c>
      <c r="F61" s="121">
        <f t="shared" si="9"/>
        <v>21791.339463625078</v>
      </c>
      <c r="G61" s="122">
        <f t="shared" si="10"/>
        <v>218533.8768028577</v>
      </c>
    </row>
    <row r="62" spans="1:11" x14ac:dyDescent="0.25">
      <c r="B62" s="39">
        <v>9</v>
      </c>
      <c r="C62" s="121">
        <f t="shared" si="7"/>
        <v>218533.8768028577</v>
      </c>
      <c r="D62" s="121">
        <f t="shared" si="8"/>
        <v>43420.608927608526</v>
      </c>
      <c r="E62" s="121">
        <f t="shared" si="6"/>
        <v>19668.048912257193</v>
      </c>
      <c r="F62" s="121">
        <f t="shared" si="9"/>
        <v>23752.560015351333</v>
      </c>
      <c r="G62" s="122">
        <f t="shared" si="10"/>
        <v>194781.31678750637</v>
      </c>
    </row>
    <row r="63" spans="1:11" x14ac:dyDescent="0.25">
      <c r="B63" s="39">
        <v>10</v>
      </c>
      <c r="C63" s="121">
        <f t="shared" si="7"/>
        <v>194781.31678750637</v>
      </c>
      <c r="D63" s="121">
        <f t="shared" si="8"/>
        <v>43420.608927608526</v>
      </c>
      <c r="E63" s="121">
        <f t="shared" si="6"/>
        <v>17530.318510875572</v>
      </c>
      <c r="F63" s="121">
        <f t="shared" si="9"/>
        <v>25890.290416732954</v>
      </c>
      <c r="G63" s="122">
        <f t="shared" si="10"/>
        <v>168891.02637077341</v>
      </c>
    </row>
    <row r="64" spans="1:11" x14ac:dyDescent="0.25">
      <c r="B64" s="39">
        <v>11</v>
      </c>
      <c r="C64" s="121">
        <f t="shared" si="7"/>
        <v>168891.02637077341</v>
      </c>
      <c r="D64" s="121">
        <f t="shared" si="8"/>
        <v>43420.608927608526</v>
      </c>
      <c r="E64" s="121">
        <f t="shared" si="6"/>
        <v>15200.192373369606</v>
      </c>
      <c r="F64" s="121">
        <f t="shared" si="9"/>
        <v>28220.41655423892</v>
      </c>
      <c r="G64" s="122">
        <f t="shared" si="10"/>
        <v>140670.6098165345</v>
      </c>
    </row>
    <row r="65" spans="1:14" x14ac:dyDescent="0.25">
      <c r="B65" s="39">
        <v>12</v>
      </c>
      <c r="C65" s="121">
        <f t="shared" si="7"/>
        <v>140670.6098165345</v>
      </c>
      <c r="D65" s="121">
        <f t="shared" si="8"/>
        <v>43420.608927608526</v>
      </c>
      <c r="E65" s="121">
        <f t="shared" si="6"/>
        <v>12660.354883488104</v>
      </c>
      <c r="F65" s="121">
        <f t="shared" si="9"/>
        <v>30760.254044120422</v>
      </c>
      <c r="G65" s="122">
        <f t="shared" si="10"/>
        <v>109910.35577241408</v>
      </c>
    </row>
    <row r="66" spans="1:14" x14ac:dyDescent="0.25">
      <c r="B66" s="39">
        <v>13</v>
      </c>
      <c r="C66" s="121">
        <f t="shared" si="7"/>
        <v>109910.35577241408</v>
      </c>
      <c r="D66" s="121">
        <f t="shared" si="8"/>
        <v>43420.608927608526</v>
      </c>
      <c r="E66" s="121">
        <f t="shared" si="6"/>
        <v>9891.9320195172677</v>
      </c>
      <c r="F66" s="121">
        <f t="shared" si="9"/>
        <v>33528.676908091256</v>
      </c>
      <c r="G66" s="122">
        <f t="shared" si="10"/>
        <v>76381.678864322836</v>
      </c>
    </row>
    <row r="67" spans="1:14" x14ac:dyDescent="0.25">
      <c r="B67" s="39">
        <v>14</v>
      </c>
      <c r="C67" s="121">
        <f t="shared" si="7"/>
        <v>76381.678864322836</v>
      </c>
      <c r="D67" s="121">
        <f t="shared" si="8"/>
        <v>43420.608927608526</v>
      </c>
      <c r="E67" s="121">
        <f t="shared" si="6"/>
        <v>6874.3510977890546</v>
      </c>
      <c r="F67" s="121">
        <f t="shared" si="9"/>
        <v>36546.257829819471</v>
      </c>
      <c r="G67" s="122">
        <f t="shared" si="10"/>
        <v>39835.421034503364</v>
      </c>
    </row>
    <row r="68" spans="1:14" x14ac:dyDescent="0.25">
      <c r="B68" s="39">
        <v>15</v>
      </c>
      <c r="C68" s="121">
        <f t="shared" si="7"/>
        <v>39835.421034503364</v>
      </c>
      <c r="D68" s="123">
        <f t="shared" si="8"/>
        <v>43420.608927608526</v>
      </c>
      <c r="E68" s="123">
        <f t="shared" si="6"/>
        <v>3585.1878931053025</v>
      </c>
      <c r="F68" s="123">
        <f t="shared" si="9"/>
        <v>39835.421034503226</v>
      </c>
      <c r="G68" s="122">
        <f t="shared" si="10"/>
        <v>1.3824319466948509E-10</v>
      </c>
    </row>
    <row r="69" spans="1:14" x14ac:dyDescent="0.25">
      <c r="B69" s="40"/>
      <c r="C69" s="123"/>
      <c r="D69" s="125">
        <f>SUM(D54:D68)</f>
        <v>651309.13391412771</v>
      </c>
      <c r="E69" s="125">
        <f t="shared" ref="E69:F69" si="11">SUM(E54:E68)</f>
        <v>301309.13391412806</v>
      </c>
      <c r="F69" s="125">
        <f t="shared" si="11"/>
        <v>349999.99999999983</v>
      </c>
      <c r="G69" s="127"/>
    </row>
    <row r="71" spans="1:14" s="14" customFormat="1" x14ac:dyDescent="0.25">
      <c r="A71" s="29" t="s">
        <v>7</v>
      </c>
      <c r="B71" s="12"/>
      <c r="C71" s="12"/>
      <c r="D71" s="12"/>
      <c r="E71" s="13"/>
      <c r="F71" s="12"/>
      <c r="G71" s="12"/>
      <c r="H71" s="12"/>
      <c r="I71" s="12"/>
      <c r="J71" s="12"/>
      <c r="K71" s="12"/>
      <c r="L71" s="12"/>
      <c r="M71" s="12"/>
      <c r="N71" s="12"/>
    </row>
    <row r="72" spans="1:14" s="14" customFormat="1" ht="94.5" customHeight="1" x14ac:dyDescent="0.25">
      <c r="A72" s="165" t="s">
        <v>205</v>
      </c>
      <c r="B72" s="165"/>
      <c r="C72" s="165"/>
      <c r="D72" s="165"/>
      <c r="E72" s="165"/>
      <c r="F72" s="165"/>
      <c r="G72" s="165"/>
      <c r="H72" s="165"/>
      <c r="I72" s="165"/>
      <c r="J72" s="165"/>
      <c r="K72" s="165"/>
      <c r="L72" s="12"/>
      <c r="M72" s="12"/>
      <c r="N72" s="12"/>
    </row>
    <row r="73" spans="1:14" s="14" customFormat="1" ht="15.75" customHeight="1" x14ac:dyDescent="0.25">
      <c r="A73" s="55"/>
      <c r="B73" s="55"/>
      <c r="C73" s="55"/>
      <c r="D73" s="55"/>
      <c r="E73" s="55"/>
      <c r="F73" s="55"/>
      <c r="G73" s="55"/>
      <c r="H73" s="55"/>
      <c r="I73" s="55"/>
      <c r="J73" s="55"/>
      <c r="K73" s="55"/>
      <c r="L73" s="12"/>
      <c r="M73" s="12"/>
      <c r="N73" s="12"/>
    </row>
    <row r="76" spans="1:14" s="14" customFormat="1" x14ac:dyDescent="0.25">
      <c r="A76" s="29" t="s">
        <v>7</v>
      </c>
      <c r="B76" s="12"/>
      <c r="C76" s="12"/>
      <c r="D76" s="12"/>
      <c r="E76" s="13"/>
      <c r="F76" s="12"/>
      <c r="G76" s="12"/>
      <c r="H76" s="12"/>
      <c r="I76" s="12"/>
      <c r="J76" s="12"/>
      <c r="K76" s="12"/>
      <c r="L76" s="12"/>
      <c r="M76" s="12"/>
      <c r="N76" s="12"/>
    </row>
    <row r="77" spans="1:14" s="14" customFormat="1" ht="63" customHeight="1" x14ac:dyDescent="0.25">
      <c r="A77" s="165" t="s">
        <v>133</v>
      </c>
      <c r="B77" s="165"/>
      <c r="C77" s="165"/>
      <c r="D77" s="165"/>
      <c r="E77" s="165"/>
      <c r="F77" s="165"/>
      <c r="G77" s="165"/>
      <c r="H77" s="165"/>
      <c r="I77" s="165"/>
      <c r="J77" s="165"/>
      <c r="K77" s="165"/>
      <c r="L77" s="12"/>
      <c r="M77" s="12"/>
      <c r="N77" s="12"/>
    </row>
    <row r="78" spans="1:14" s="14" customFormat="1" ht="15.75" customHeight="1" x14ac:dyDescent="0.25">
      <c r="A78" s="55"/>
      <c r="B78" s="55"/>
      <c r="C78" s="55"/>
      <c r="D78" s="55"/>
      <c r="E78" s="55"/>
      <c r="F78" s="55"/>
      <c r="G78" s="55"/>
      <c r="H78" s="55"/>
      <c r="I78" s="55"/>
      <c r="J78" s="55"/>
      <c r="K78" s="55"/>
      <c r="L78" s="12"/>
      <c r="M78" s="12"/>
      <c r="N78" s="12"/>
    </row>
    <row r="79" spans="1:14" s="14" customFormat="1" ht="15.75" customHeight="1" x14ac:dyDescent="0.25">
      <c r="A79" s="55"/>
      <c r="B79" s="55"/>
      <c r="C79" s="55"/>
      <c r="D79" s="55"/>
      <c r="E79" s="55"/>
      <c r="F79" s="55"/>
      <c r="G79" s="55"/>
      <c r="H79" s="55"/>
      <c r="I79" s="55"/>
      <c r="J79" s="55"/>
      <c r="K79" s="55"/>
      <c r="L79" s="12"/>
      <c r="M79" s="12"/>
      <c r="N79" s="12"/>
    </row>
    <row r="80" spans="1:14" s="14" customFormat="1" ht="15.75" customHeight="1" x14ac:dyDescent="0.25">
      <c r="A80" s="55"/>
      <c r="B80" s="55"/>
      <c r="C80" s="55"/>
      <c r="D80" s="55"/>
      <c r="E80" s="55"/>
      <c r="F80" s="55"/>
      <c r="G80" s="55"/>
      <c r="H80" s="55"/>
      <c r="I80" s="55"/>
      <c r="J80" s="55"/>
      <c r="K80" s="55"/>
      <c r="L80" s="12"/>
      <c r="M80" s="12"/>
      <c r="N80" s="12"/>
    </row>
    <row r="81" spans="1:14" s="14" customFormat="1" ht="15.75" customHeight="1" x14ac:dyDescent="0.25">
      <c r="A81" s="55"/>
      <c r="B81" s="55"/>
      <c r="C81" s="55"/>
      <c r="D81" s="55"/>
      <c r="E81" s="55"/>
      <c r="F81" s="55"/>
      <c r="G81" s="55"/>
      <c r="H81" s="55"/>
      <c r="I81" s="55"/>
      <c r="J81" s="55"/>
      <c r="K81" s="55"/>
      <c r="L81" s="12"/>
      <c r="M81" s="12"/>
      <c r="N81" s="12"/>
    </row>
    <row r="82" spans="1:14" s="14" customFormat="1" ht="15.75" customHeight="1" x14ac:dyDescent="0.25">
      <c r="A82" s="55"/>
      <c r="B82" s="55"/>
      <c r="C82" s="55"/>
      <c r="D82" s="55"/>
      <c r="E82" s="55"/>
      <c r="F82" s="55"/>
      <c r="G82" s="55"/>
      <c r="H82" s="55"/>
      <c r="I82" s="55"/>
      <c r="J82" s="55"/>
      <c r="K82" s="55"/>
      <c r="L82" s="12"/>
      <c r="M82" s="12"/>
      <c r="N82" s="12"/>
    </row>
    <row r="83" spans="1:14" s="14" customFormat="1" ht="15.75" customHeight="1" x14ac:dyDescent="0.25">
      <c r="A83" s="55"/>
      <c r="B83" s="55"/>
      <c r="C83" s="55"/>
      <c r="D83" s="55"/>
      <c r="E83" s="55"/>
      <c r="F83" s="55"/>
      <c r="G83" s="55"/>
      <c r="H83" s="55"/>
      <c r="I83" s="55"/>
      <c r="J83" s="55"/>
      <c r="K83" s="55"/>
      <c r="L83" s="12"/>
      <c r="M83" s="12"/>
      <c r="N83" s="12"/>
    </row>
    <row r="84" spans="1:14" s="14" customFormat="1" ht="15.75" customHeight="1" x14ac:dyDescent="0.25">
      <c r="A84" s="55"/>
      <c r="B84" s="55"/>
      <c r="C84" s="55"/>
      <c r="D84" s="55"/>
      <c r="E84" s="55"/>
      <c r="F84" s="55"/>
      <c r="G84" s="55"/>
      <c r="H84" s="55"/>
      <c r="I84" s="55"/>
      <c r="J84" s="55"/>
      <c r="K84" s="55"/>
      <c r="L84" s="12"/>
      <c r="M84" s="12"/>
      <c r="N84" s="12"/>
    </row>
    <row r="85" spans="1:14" s="14" customFormat="1" ht="15.75" customHeight="1" x14ac:dyDescent="0.25">
      <c r="A85" s="55"/>
      <c r="B85" s="55"/>
      <c r="C85" s="55"/>
      <c r="D85" s="55"/>
      <c r="E85" s="55"/>
      <c r="F85" s="55"/>
      <c r="G85" s="55"/>
      <c r="H85" s="55"/>
      <c r="I85" s="55"/>
      <c r="J85" s="55"/>
      <c r="K85" s="55"/>
      <c r="L85" s="12"/>
      <c r="M85" s="12"/>
      <c r="N85" s="12"/>
    </row>
    <row r="86" spans="1:14" s="14" customFormat="1" ht="15.75" customHeight="1" x14ac:dyDescent="0.25">
      <c r="A86" s="55"/>
      <c r="B86" s="55"/>
      <c r="C86" s="55"/>
      <c r="D86" s="55"/>
      <c r="E86" s="55"/>
      <c r="F86" s="55"/>
      <c r="G86" s="55"/>
      <c r="H86" s="55"/>
      <c r="I86" s="55"/>
      <c r="J86" s="55"/>
      <c r="K86" s="55"/>
      <c r="L86" s="12"/>
      <c r="M86" s="12"/>
      <c r="N86" s="12"/>
    </row>
    <row r="87" spans="1:14" s="14" customFormat="1" ht="15.75" customHeight="1" x14ac:dyDescent="0.25">
      <c r="A87" s="55"/>
      <c r="B87" s="55"/>
      <c r="C87" s="55"/>
      <c r="D87" s="55"/>
      <c r="E87" s="55"/>
      <c r="F87" s="55"/>
      <c r="G87" s="55"/>
      <c r="H87" s="55"/>
      <c r="I87" s="55"/>
      <c r="J87" s="55"/>
      <c r="K87" s="55"/>
      <c r="L87" s="12"/>
      <c r="M87" s="12"/>
      <c r="N87" s="12"/>
    </row>
    <row r="88" spans="1:14" s="14" customFormat="1" ht="15.75" customHeight="1" x14ac:dyDescent="0.25">
      <c r="A88" s="55"/>
      <c r="B88" s="55"/>
      <c r="C88" s="55"/>
      <c r="D88" s="55"/>
      <c r="E88" s="55"/>
      <c r="F88" s="55"/>
      <c r="G88" s="55"/>
      <c r="H88" s="55"/>
      <c r="I88" s="55"/>
      <c r="J88" s="55"/>
      <c r="K88" s="55"/>
      <c r="L88" s="12"/>
      <c r="M88" s="12"/>
      <c r="N88" s="12"/>
    </row>
    <row r="89" spans="1:14" s="14" customFormat="1" ht="15.75" customHeight="1" x14ac:dyDescent="0.25">
      <c r="A89" s="55"/>
      <c r="B89" s="55"/>
      <c r="C89" s="55"/>
      <c r="D89" s="55"/>
      <c r="E89" s="55"/>
      <c r="F89" s="55"/>
      <c r="G89" s="55"/>
      <c r="H89" s="55"/>
      <c r="I89" s="55"/>
      <c r="J89" s="55"/>
      <c r="K89" s="55"/>
      <c r="L89" s="12"/>
      <c r="M89" s="12"/>
      <c r="N89" s="12"/>
    </row>
    <row r="90" spans="1:14" s="14" customFormat="1" ht="15.75" customHeight="1" x14ac:dyDescent="0.25">
      <c r="A90" s="55"/>
      <c r="B90" s="55"/>
      <c r="C90" s="55"/>
      <c r="D90" s="55"/>
      <c r="E90" s="55"/>
      <c r="F90" s="55"/>
      <c r="G90" s="55"/>
      <c r="H90" s="55"/>
      <c r="I90" s="55"/>
      <c r="J90" s="55"/>
      <c r="K90" s="55"/>
      <c r="L90" s="12"/>
      <c r="M90" s="12"/>
      <c r="N90" s="12"/>
    </row>
    <row r="91" spans="1:14" s="14" customFormat="1" ht="15.75" customHeight="1" x14ac:dyDescent="0.25">
      <c r="A91" s="55"/>
      <c r="B91" s="55"/>
      <c r="C91" s="55"/>
      <c r="D91" s="55"/>
      <c r="E91" s="55"/>
      <c r="F91" s="55"/>
      <c r="G91" s="55"/>
      <c r="H91" s="55"/>
      <c r="I91" s="55"/>
      <c r="J91" s="55"/>
      <c r="K91" s="55"/>
      <c r="L91" s="12"/>
      <c r="M91" s="12"/>
      <c r="N91" s="12"/>
    </row>
    <row r="92" spans="1:14" s="14" customFormat="1" ht="15.75" customHeight="1" x14ac:dyDescent="0.25">
      <c r="A92" s="55"/>
      <c r="B92" s="55"/>
      <c r="C92" s="55"/>
      <c r="D92" s="55"/>
      <c r="E92" s="55"/>
      <c r="F92" s="55"/>
      <c r="G92" s="55"/>
      <c r="H92" s="55"/>
      <c r="I92" s="55"/>
      <c r="J92" s="55"/>
      <c r="K92" s="55"/>
      <c r="L92" s="12"/>
      <c r="M92" s="12"/>
      <c r="N92" s="12"/>
    </row>
    <row r="93" spans="1:14" s="14" customFormat="1" ht="15.75" customHeight="1" x14ac:dyDescent="0.25">
      <c r="A93" s="55"/>
      <c r="B93" s="55"/>
      <c r="C93" s="55"/>
      <c r="D93" s="55"/>
      <c r="E93" s="55"/>
      <c r="F93" s="55"/>
      <c r="G93" s="55"/>
      <c r="H93" s="55"/>
      <c r="I93" s="55"/>
      <c r="J93" s="55"/>
      <c r="K93" s="55"/>
      <c r="L93" s="12"/>
      <c r="M93" s="12"/>
      <c r="N93" s="12"/>
    </row>
    <row r="94" spans="1:14" s="14" customFormat="1" ht="15.75" customHeight="1" x14ac:dyDescent="0.25">
      <c r="A94" s="55"/>
      <c r="B94" s="55"/>
      <c r="C94" s="55"/>
      <c r="D94" s="55"/>
      <c r="E94" s="55"/>
      <c r="F94" s="55"/>
      <c r="G94" s="55"/>
      <c r="H94" s="55"/>
      <c r="I94" s="55"/>
      <c r="J94" s="55"/>
      <c r="K94" s="55"/>
      <c r="L94" s="12"/>
      <c r="M94" s="12"/>
      <c r="N94" s="12"/>
    </row>
    <row r="95" spans="1:14" s="14" customFormat="1" ht="15.75" customHeight="1" x14ac:dyDescent="0.25">
      <c r="A95" s="55"/>
      <c r="B95" s="55"/>
      <c r="C95" s="55"/>
      <c r="D95" s="55"/>
      <c r="E95" s="55"/>
      <c r="F95" s="55"/>
      <c r="G95" s="55"/>
      <c r="H95" s="55"/>
      <c r="I95" s="55"/>
      <c r="J95" s="55"/>
      <c r="K95" s="55"/>
      <c r="L95" s="12"/>
      <c r="M95" s="12"/>
      <c r="N95" s="12"/>
    </row>
    <row r="96" spans="1:14" s="14" customFormat="1" ht="15.75" customHeight="1" x14ac:dyDescent="0.25">
      <c r="A96" s="55"/>
      <c r="B96" s="55"/>
      <c r="C96" s="55"/>
      <c r="D96" s="55"/>
      <c r="E96" s="55"/>
      <c r="F96" s="55"/>
      <c r="G96" s="55"/>
      <c r="H96" s="55"/>
      <c r="I96" s="55"/>
      <c r="J96" s="55"/>
      <c r="K96" s="55"/>
      <c r="L96" s="12"/>
      <c r="M96" s="12"/>
      <c r="N96" s="12"/>
    </row>
    <row r="97" spans="1:14" s="14" customFormat="1" ht="15.75" customHeight="1" x14ac:dyDescent="0.25">
      <c r="A97" s="55"/>
      <c r="B97" s="55"/>
      <c r="C97" s="55"/>
      <c r="D97" s="55"/>
      <c r="E97" s="55"/>
      <c r="F97" s="55"/>
      <c r="G97" s="55"/>
      <c r="H97" s="55"/>
      <c r="I97" s="55"/>
      <c r="J97" s="55"/>
      <c r="K97" s="55"/>
      <c r="L97" s="12"/>
      <c r="M97" s="12"/>
      <c r="N97" s="12"/>
    </row>
    <row r="99" spans="1:14" x14ac:dyDescent="0.25">
      <c r="A99" s="4" t="s">
        <v>134</v>
      </c>
    </row>
    <row r="100" spans="1:14" ht="47.25" customHeight="1" x14ac:dyDescent="0.25">
      <c r="A100" s="164" t="s">
        <v>135</v>
      </c>
      <c r="B100" s="164"/>
      <c r="C100" s="164"/>
      <c r="D100" s="164"/>
      <c r="E100" s="164"/>
      <c r="F100" s="164"/>
      <c r="G100" s="164"/>
      <c r="H100" s="164"/>
      <c r="I100" s="164"/>
      <c r="J100" s="164"/>
      <c r="K100" s="164"/>
    </row>
    <row r="102" spans="1:14" ht="15.75" customHeight="1" x14ac:dyDescent="0.25">
      <c r="A102" s="173" t="s">
        <v>174</v>
      </c>
      <c r="B102" s="173"/>
      <c r="C102" s="173"/>
      <c r="D102" s="173"/>
      <c r="E102" s="173"/>
    </row>
    <row r="103" spans="1:14" x14ac:dyDescent="0.25">
      <c r="A103" s="3" t="s">
        <v>177</v>
      </c>
    </row>
    <row r="105" spans="1:14" x14ac:dyDescent="0.25">
      <c r="B105" s="3" t="s">
        <v>141</v>
      </c>
      <c r="E105" s="114">
        <v>100000</v>
      </c>
    </row>
    <row r="106" spans="1:14" x14ac:dyDescent="0.25">
      <c r="B106" s="3" t="s">
        <v>250</v>
      </c>
      <c r="E106" s="113">
        <v>20</v>
      </c>
    </row>
    <row r="107" spans="1:14" x14ac:dyDescent="0.25">
      <c r="B107" s="3" t="s">
        <v>251</v>
      </c>
      <c r="E107" s="113">
        <v>5</v>
      </c>
    </row>
    <row r="108" spans="1:14" x14ac:dyDescent="0.25">
      <c r="B108" s="3" t="s">
        <v>252</v>
      </c>
      <c r="E108" s="113">
        <v>12</v>
      </c>
    </row>
    <row r="109" spans="1:14" x14ac:dyDescent="0.25">
      <c r="B109" s="3" t="s">
        <v>253</v>
      </c>
      <c r="E109" s="153">
        <v>0.12</v>
      </c>
    </row>
    <row r="111" spans="1:14" x14ac:dyDescent="0.25">
      <c r="A111" s="164" t="s">
        <v>136</v>
      </c>
      <c r="B111" s="164"/>
      <c r="C111" s="164"/>
      <c r="D111" s="164"/>
      <c r="E111" s="164"/>
      <c r="F111" s="164"/>
      <c r="G111" s="164"/>
      <c r="H111" s="164"/>
      <c r="I111" s="164"/>
      <c r="J111" s="164"/>
      <c r="K111" s="164"/>
    </row>
    <row r="113" spans="1:11" x14ac:dyDescent="0.25">
      <c r="B113" s="3" t="s">
        <v>234</v>
      </c>
      <c r="E113" s="118">
        <f>PMT(E109/E108,E106*E108,-E105)</f>
        <v>1101.08613356961</v>
      </c>
    </row>
    <row r="115" spans="1:11" x14ac:dyDescent="0.25">
      <c r="A115" s="164" t="s">
        <v>137</v>
      </c>
      <c r="B115" s="164"/>
      <c r="C115" s="164"/>
      <c r="D115" s="164"/>
      <c r="E115" s="164"/>
      <c r="F115" s="164"/>
      <c r="G115" s="164"/>
      <c r="H115" s="164"/>
      <c r="I115" s="164"/>
      <c r="J115" s="164"/>
      <c r="K115" s="164"/>
    </row>
    <row r="117" spans="1:11" x14ac:dyDescent="0.25">
      <c r="B117" s="3" t="s">
        <v>254</v>
      </c>
      <c r="E117" s="118">
        <f>PV(E109/E108,(E106-E107)*E108,-E113)</f>
        <v>91744.328844309115</v>
      </c>
    </row>
    <row r="118" spans="1:11" x14ac:dyDescent="0.25">
      <c r="E118" s="8"/>
    </row>
    <row r="119" spans="1:11" x14ac:dyDescent="0.25">
      <c r="A119" s="164" t="s">
        <v>178</v>
      </c>
      <c r="B119" s="164"/>
      <c r="C119" s="164"/>
      <c r="D119" s="164"/>
      <c r="E119" s="164"/>
      <c r="F119" s="164"/>
      <c r="G119" s="164"/>
      <c r="H119" s="164"/>
      <c r="I119" s="164"/>
      <c r="J119" s="164"/>
      <c r="K119" s="164"/>
    </row>
    <row r="121" spans="1:11" x14ac:dyDescent="0.25">
      <c r="B121" s="3" t="s">
        <v>254</v>
      </c>
      <c r="E121" s="118">
        <f>PV(E109/E108,(E106-E107)*E108,PMT(E109/E108,E106*E108,E105))</f>
        <v>91744.328844309115</v>
      </c>
    </row>
  </sheetData>
  <mergeCells count="12">
    <mergeCell ref="A119:K119"/>
    <mergeCell ref="A7:K7"/>
    <mergeCell ref="A37:K37"/>
    <mergeCell ref="A42:K42"/>
    <mergeCell ref="A47:K47"/>
    <mergeCell ref="A51:K51"/>
    <mergeCell ref="A72:K72"/>
    <mergeCell ref="A77:K77"/>
    <mergeCell ref="A100:K100"/>
    <mergeCell ref="A102:E102"/>
    <mergeCell ref="A111:K111"/>
    <mergeCell ref="A115:K11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7"/>
  <sheetViews>
    <sheetView showGridLines="0" workbookViewId="0">
      <pane ySplit="17" topLeftCell="A18" activePane="bottomLeft" state="frozenSplit"/>
      <selection pane="bottomLeft" activeCell="E363" sqref="E363"/>
    </sheetView>
  </sheetViews>
  <sheetFormatPr defaultColWidth="9.140625" defaultRowHeight="12.75" x14ac:dyDescent="0.2"/>
  <cols>
    <col min="1" max="1" width="6.28515625" style="105" customWidth="1"/>
    <col min="2" max="2" width="15.7109375" style="106" customWidth="1"/>
    <col min="3" max="3" width="21.7109375" style="106" customWidth="1"/>
    <col min="4" max="8" width="14.7109375" style="106" customWidth="1"/>
    <col min="9" max="10" width="21.7109375" style="106" customWidth="1"/>
    <col min="11" max="16384" width="9.140625" style="74"/>
  </cols>
  <sheetData>
    <row r="1" spans="1:10" ht="24" customHeight="1" x14ac:dyDescent="0.3">
      <c r="A1" s="71" t="s">
        <v>138</v>
      </c>
      <c r="B1" s="72"/>
      <c r="C1" s="72"/>
      <c r="D1" s="72"/>
      <c r="E1" s="73"/>
      <c r="F1" s="73"/>
      <c r="G1" s="73"/>
      <c r="H1" s="73"/>
      <c r="I1" s="73"/>
      <c r="J1" s="73"/>
    </row>
    <row r="2" spans="1:10" ht="3" customHeight="1" x14ac:dyDescent="0.2">
      <c r="A2" s="75"/>
      <c r="B2" s="76"/>
      <c r="C2" s="76"/>
      <c r="D2" s="76"/>
      <c r="E2" s="76"/>
      <c r="F2" s="76"/>
      <c r="G2" s="76"/>
      <c r="H2" s="76"/>
      <c r="I2" s="76"/>
      <c r="J2" s="76"/>
    </row>
    <row r="3" spans="1:10" ht="20.25" customHeight="1" x14ac:dyDescent="0.2">
      <c r="A3" s="73"/>
      <c r="B3" s="77"/>
      <c r="C3" s="77"/>
      <c r="D3" s="77"/>
      <c r="E3" s="77"/>
      <c r="F3" s="77"/>
      <c r="G3" s="77"/>
      <c r="H3" s="77"/>
      <c r="I3" s="77"/>
      <c r="J3" s="77"/>
    </row>
    <row r="4" spans="1:10" ht="14.25" customHeight="1" x14ac:dyDescent="0.2">
      <c r="A4" s="73"/>
      <c r="B4" s="177" t="s">
        <v>139</v>
      </c>
      <c r="C4" s="178"/>
      <c r="D4" s="179"/>
      <c r="E4" s="73"/>
      <c r="F4" s="74"/>
      <c r="G4" s="74"/>
      <c r="H4" s="177" t="s">
        <v>140</v>
      </c>
      <c r="I4" s="178"/>
      <c r="J4" s="179"/>
    </row>
    <row r="5" spans="1:10" x14ac:dyDescent="0.2">
      <c r="A5" s="73"/>
      <c r="B5" s="78"/>
      <c r="C5" s="79" t="s">
        <v>141</v>
      </c>
      <c r="D5" s="80">
        <v>250000</v>
      </c>
      <c r="E5" s="73"/>
      <c r="F5" s="74"/>
      <c r="G5" s="74"/>
      <c r="H5" s="78"/>
      <c r="I5" s="79" t="s">
        <v>142</v>
      </c>
      <c r="J5" s="81">
        <f>IF(Values_Entered,-PMT(Interest_Rate/Num_Pmt_Per_Year,Loan_Years*Num_Pmt_Per_Year,Loan_Amount),"")</f>
        <v>1244.5294817906613</v>
      </c>
    </row>
    <row r="6" spans="1:10" x14ac:dyDescent="0.2">
      <c r="A6" s="73"/>
      <c r="B6" s="78"/>
      <c r="C6" s="79" t="s">
        <v>143</v>
      </c>
      <c r="D6" s="82">
        <v>4.3499999999999997E-2</v>
      </c>
      <c r="E6" s="73"/>
      <c r="F6" s="74"/>
      <c r="G6" s="74"/>
      <c r="H6" s="78"/>
      <c r="I6" s="79" t="s">
        <v>144</v>
      </c>
      <c r="J6" s="83">
        <f>IF(Values_Entered,Loan_Years*Num_Pmt_Per_Year,"")</f>
        <v>360</v>
      </c>
    </row>
    <row r="7" spans="1:10" x14ac:dyDescent="0.2">
      <c r="A7" s="73"/>
      <c r="B7" s="78"/>
      <c r="C7" s="79" t="s">
        <v>145</v>
      </c>
      <c r="D7" s="84">
        <v>30</v>
      </c>
      <c r="E7" s="73"/>
      <c r="F7" s="74"/>
      <c r="G7" s="74"/>
      <c r="H7" s="78"/>
      <c r="I7" s="79" t="s">
        <v>146</v>
      </c>
      <c r="J7" s="83">
        <f>IF(Values_Entered,Number_of_Payments,"")</f>
        <v>360</v>
      </c>
    </row>
    <row r="8" spans="1:10" x14ac:dyDescent="0.2">
      <c r="A8" s="73"/>
      <c r="B8" s="78"/>
      <c r="C8" s="79" t="s">
        <v>147</v>
      </c>
      <c r="D8" s="84">
        <v>12</v>
      </c>
      <c r="E8" s="73"/>
      <c r="F8" s="74"/>
      <c r="G8" s="74"/>
      <c r="H8" s="78"/>
      <c r="I8" s="79" t="s">
        <v>148</v>
      </c>
      <c r="J8" s="81">
        <f>IF(Values_Entered,SUMIF(Beg_Bal,"&gt;0",Extra_Pay),"")</f>
        <v>0</v>
      </c>
    </row>
    <row r="9" spans="1:10" x14ac:dyDescent="0.2">
      <c r="A9" s="73"/>
      <c r="B9" s="78"/>
      <c r="C9" s="79" t="s">
        <v>149</v>
      </c>
      <c r="D9" s="85">
        <v>44531</v>
      </c>
      <c r="E9" s="73"/>
      <c r="F9" s="74"/>
      <c r="G9" s="74"/>
      <c r="H9" s="86"/>
      <c r="I9" s="87" t="s">
        <v>150</v>
      </c>
      <c r="J9" s="81">
        <f>IF(Values_Entered,SUMIF(Beg_Bal,"&gt;0",Int),"")</f>
        <v>198030.61344463765</v>
      </c>
    </row>
    <row r="10" spans="1:10" x14ac:dyDescent="0.2">
      <c r="A10" s="73"/>
      <c r="B10" s="86"/>
      <c r="C10" s="87" t="s">
        <v>151</v>
      </c>
      <c r="D10" s="80"/>
      <c r="E10" s="73"/>
      <c r="F10" s="77"/>
      <c r="G10" s="77"/>
      <c r="H10" s="77"/>
      <c r="I10" s="77"/>
      <c r="J10" s="88"/>
    </row>
    <row r="11" spans="1:10" x14ac:dyDescent="0.2">
      <c r="A11" s="73"/>
      <c r="B11" s="77"/>
      <c r="C11" s="77"/>
      <c r="D11" s="77"/>
      <c r="E11" s="77"/>
      <c r="F11" s="77"/>
      <c r="G11" s="77"/>
      <c r="H11" s="77"/>
      <c r="I11" s="77"/>
      <c r="J11" s="77"/>
    </row>
    <row r="12" spans="1:10" x14ac:dyDescent="0.2">
      <c r="A12" s="73"/>
      <c r="B12" s="89" t="s">
        <v>152</v>
      </c>
      <c r="C12" s="175"/>
      <c r="D12" s="176"/>
      <c r="E12" s="90"/>
      <c r="F12" s="77"/>
      <c r="G12" s="77"/>
      <c r="H12" s="77"/>
      <c r="I12" s="77"/>
      <c r="J12" s="77"/>
    </row>
    <row r="13" spans="1:10" x14ac:dyDescent="0.2">
      <c r="A13" s="73"/>
      <c r="B13" s="89"/>
      <c r="C13" s="91"/>
      <c r="D13" s="91"/>
      <c r="E13" s="77"/>
      <c r="F13" s="77"/>
      <c r="G13" s="77"/>
      <c r="H13" s="77"/>
      <c r="I13" s="77"/>
      <c r="J13" s="77"/>
    </row>
    <row r="14" spans="1:10" ht="6" customHeight="1" x14ac:dyDescent="0.2">
      <c r="A14" s="75"/>
      <c r="B14" s="76"/>
      <c r="C14" s="76"/>
      <c r="D14" s="76"/>
      <c r="E14" s="76"/>
      <c r="F14" s="76"/>
      <c r="G14" s="76"/>
      <c r="H14" s="76"/>
      <c r="I14" s="76"/>
      <c r="J14" s="76"/>
    </row>
    <row r="15" spans="1:10" ht="3.75" customHeight="1" x14ac:dyDescent="0.25">
      <c r="A15" s="92"/>
      <c r="B15" s="93"/>
      <c r="C15" s="93"/>
      <c r="D15" s="93"/>
      <c r="E15" s="93"/>
      <c r="F15" s="93"/>
      <c r="G15" s="93"/>
      <c r="H15" s="93"/>
      <c r="I15" s="93"/>
      <c r="J15" s="93"/>
    </row>
    <row r="16" spans="1:10" s="97" customFormat="1" ht="25.5" x14ac:dyDescent="0.2">
      <c r="A16" s="94" t="s">
        <v>153</v>
      </c>
      <c r="B16" s="95" t="s">
        <v>154</v>
      </c>
      <c r="C16" s="95" t="s">
        <v>155</v>
      </c>
      <c r="D16" s="95" t="s">
        <v>156</v>
      </c>
      <c r="E16" s="95" t="s">
        <v>157</v>
      </c>
      <c r="F16" s="95" t="s">
        <v>158</v>
      </c>
      <c r="G16" s="95" t="s">
        <v>159</v>
      </c>
      <c r="H16" s="95" t="s">
        <v>160</v>
      </c>
      <c r="I16" s="95" t="s">
        <v>161</v>
      </c>
      <c r="J16" s="96" t="s">
        <v>162</v>
      </c>
    </row>
    <row r="17" spans="1:10" s="97" customFormat="1" ht="6" customHeight="1" x14ac:dyDescent="0.25">
      <c r="A17" s="98"/>
      <c r="B17" s="99"/>
      <c r="C17" s="99"/>
      <c r="D17" s="99"/>
      <c r="E17" s="99"/>
      <c r="F17" s="99"/>
      <c r="G17" s="99"/>
      <c r="H17" s="99"/>
      <c r="I17" s="99"/>
      <c r="J17" s="100"/>
    </row>
    <row r="18" spans="1:10" s="97" customFormat="1" x14ac:dyDescent="0.2">
      <c r="A18" s="101">
        <f>IF(Values_Entered,1,"")</f>
        <v>1</v>
      </c>
      <c r="B18" s="102">
        <f t="shared" ref="B18:B81" si="0">IF(Pay_Num&lt;&gt;"",DATE(YEAR(Loan_Start),MONTH(Loan_Start)+(Pay_Num)*12/Num_Pmt_Per_Year,DAY(Loan_Start)),"")</f>
        <v>44562</v>
      </c>
      <c r="C18" s="103">
        <f>IF(Values_Entered,Loan_Amount,"")</f>
        <v>250000</v>
      </c>
      <c r="D18" s="103">
        <f t="shared" ref="D18:D81" si="1">IF(Pay_Num&lt;&gt;"",Scheduled_Monthly_Payment,"")</f>
        <v>1244.5294817906613</v>
      </c>
      <c r="E18" s="104">
        <f t="shared" ref="E18:E81" si="2">IF(AND(Pay_Num&lt;&gt;"",Sched_Pay+Scheduled_Extra_Payments&lt;Beg_Bal),Scheduled_Extra_Payments,IF(AND(Pay_Num&lt;&gt;"",Beg_Bal-Sched_Pay&gt;0),Beg_Bal-Sched_Pay,IF(Pay_Num&lt;&gt;"",0,"")))</f>
        <v>0</v>
      </c>
      <c r="F18" s="103">
        <f t="shared" ref="F18:F81" si="3">IF(AND(Pay_Num&lt;&gt;"",Sched_Pay+Extra_Pay&lt;Beg_Bal),Sched_Pay+Extra_Pay,IF(Pay_Num&lt;&gt;"",Beg_Bal,""))</f>
        <v>1244.5294817906613</v>
      </c>
      <c r="G18" s="103">
        <f t="shared" ref="G18:G81" si="4">IF(Pay_Num&lt;&gt;"",Total_Pay-Int,"")</f>
        <v>338.27948179066141</v>
      </c>
      <c r="H18" s="103">
        <f>IF(Pay_Num&lt;&gt;"",Beg_Bal*(Interest_Rate/Num_Pmt_Per_Year),"")</f>
        <v>906.24999999999989</v>
      </c>
      <c r="I18" s="103">
        <f t="shared" ref="I18:I81" si="5">IF(AND(Pay_Num&lt;&gt;"",Sched_Pay+Extra_Pay&lt;Beg_Bal),Beg_Bal-Princ,IF(Pay_Num&lt;&gt;"",0,""))</f>
        <v>249661.72051820933</v>
      </c>
      <c r="J18" s="103">
        <f>SUM($H$18:$H18)</f>
        <v>906.24999999999989</v>
      </c>
    </row>
    <row r="19" spans="1:10" s="97" customFormat="1" ht="12.75" customHeight="1" x14ac:dyDescent="0.2">
      <c r="A19" s="101">
        <f>IF(Values_Entered,A18+1,"")</f>
        <v>2</v>
      </c>
      <c r="B19" s="102">
        <f t="shared" si="0"/>
        <v>44593</v>
      </c>
      <c r="C19" s="103">
        <f t="shared" ref="C19:C82" si="6">IF(Pay_Num&lt;&gt;"",I18,"")</f>
        <v>249661.72051820933</v>
      </c>
      <c r="D19" s="103">
        <f t="shared" si="1"/>
        <v>1244.5294817906613</v>
      </c>
      <c r="E19" s="104">
        <f t="shared" si="2"/>
        <v>0</v>
      </c>
      <c r="F19" s="103">
        <f t="shared" si="3"/>
        <v>1244.5294817906613</v>
      </c>
      <c r="G19" s="103">
        <f t="shared" si="4"/>
        <v>339.50574491215252</v>
      </c>
      <c r="H19" s="103">
        <f t="shared" ref="H19:H82" si="7">IF(Pay_Num&lt;&gt;"",Beg_Bal*Interest_Rate/Num_Pmt_Per_Year,"")</f>
        <v>905.02373687850877</v>
      </c>
      <c r="I19" s="103">
        <f t="shared" si="5"/>
        <v>249322.21477329716</v>
      </c>
      <c r="J19" s="103">
        <f>SUM($H$18:$H19)</f>
        <v>1811.2737368785088</v>
      </c>
    </row>
    <row r="20" spans="1:10" s="97" customFormat="1" ht="12.75" customHeight="1" x14ac:dyDescent="0.2">
      <c r="A20" s="101">
        <f>IF(Values_Entered,A19+1,"")</f>
        <v>3</v>
      </c>
      <c r="B20" s="102">
        <f t="shared" si="0"/>
        <v>44621</v>
      </c>
      <c r="C20" s="103">
        <f t="shared" si="6"/>
        <v>249322.21477329716</v>
      </c>
      <c r="D20" s="103">
        <f t="shared" si="1"/>
        <v>1244.5294817906613</v>
      </c>
      <c r="E20" s="104">
        <f t="shared" si="2"/>
        <v>0</v>
      </c>
      <c r="F20" s="103">
        <f t="shared" si="3"/>
        <v>1244.5294817906613</v>
      </c>
      <c r="G20" s="103">
        <f t="shared" si="4"/>
        <v>340.73645323745916</v>
      </c>
      <c r="H20" s="103">
        <f t="shared" si="7"/>
        <v>903.79302855320213</v>
      </c>
      <c r="I20" s="103">
        <f t="shared" si="5"/>
        <v>248981.47832005972</v>
      </c>
      <c r="J20" s="103">
        <f>SUM($H$18:$H20)</f>
        <v>2715.0667654317108</v>
      </c>
    </row>
    <row r="21" spans="1:10" s="97" customFormat="1" x14ac:dyDescent="0.2">
      <c r="A21" s="101">
        <f>IF(Values_Entered,A20+1,"")</f>
        <v>4</v>
      </c>
      <c r="B21" s="102">
        <f t="shared" si="0"/>
        <v>44652</v>
      </c>
      <c r="C21" s="103">
        <f t="shared" si="6"/>
        <v>248981.47832005972</v>
      </c>
      <c r="D21" s="103">
        <f t="shared" si="1"/>
        <v>1244.5294817906613</v>
      </c>
      <c r="E21" s="104">
        <f t="shared" si="2"/>
        <v>0</v>
      </c>
      <c r="F21" s="103">
        <f t="shared" si="3"/>
        <v>1244.5294817906613</v>
      </c>
      <c r="G21" s="103">
        <f t="shared" si="4"/>
        <v>341.9716228804449</v>
      </c>
      <c r="H21" s="103">
        <f t="shared" si="7"/>
        <v>902.5578589102164</v>
      </c>
      <c r="I21" s="103">
        <f t="shared" si="5"/>
        <v>248639.50669717928</v>
      </c>
      <c r="J21" s="103">
        <f>SUM($H$18:$H21)</f>
        <v>3617.6246243419273</v>
      </c>
    </row>
    <row r="22" spans="1:10" s="97" customFormat="1" x14ac:dyDescent="0.2">
      <c r="A22" s="101">
        <f>IF(Values_Entered,A21+1,"")</f>
        <v>5</v>
      </c>
      <c r="B22" s="102">
        <f t="shared" si="0"/>
        <v>44682</v>
      </c>
      <c r="C22" s="103">
        <f t="shared" si="6"/>
        <v>248639.50669717928</v>
      </c>
      <c r="D22" s="103">
        <f t="shared" si="1"/>
        <v>1244.5294817906613</v>
      </c>
      <c r="E22" s="104">
        <f t="shared" si="2"/>
        <v>0</v>
      </c>
      <c r="F22" s="103">
        <f t="shared" si="3"/>
        <v>1244.5294817906613</v>
      </c>
      <c r="G22" s="103">
        <f t="shared" si="4"/>
        <v>343.21127001338641</v>
      </c>
      <c r="H22" s="103">
        <f t="shared" si="7"/>
        <v>901.31821177727488</v>
      </c>
      <c r="I22" s="103">
        <f t="shared" si="5"/>
        <v>248296.2954271659</v>
      </c>
      <c r="J22" s="103">
        <f>SUM($H$18:$H22)</f>
        <v>4518.9428361192022</v>
      </c>
    </row>
    <row r="23" spans="1:10" x14ac:dyDescent="0.2">
      <c r="A23" s="101">
        <f>IF(Values_Entered,A22+1,"")</f>
        <v>6</v>
      </c>
      <c r="B23" s="102">
        <f t="shared" si="0"/>
        <v>44713</v>
      </c>
      <c r="C23" s="103">
        <f t="shared" si="6"/>
        <v>248296.2954271659</v>
      </c>
      <c r="D23" s="103">
        <f t="shared" si="1"/>
        <v>1244.5294817906613</v>
      </c>
      <c r="E23" s="104">
        <f t="shared" si="2"/>
        <v>0</v>
      </c>
      <c r="F23" s="103">
        <f t="shared" si="3"/>
        <v>1244.5294817906613</v>
      </c>
      <c r="G23" s="103">
        <f t="shared" si="4"/>
        <v>344.45541086718492</v>
      </c>
      <c r="H23" s="103">
        <f t="shared" si="7"/>
        <v>900.07407092347637</v>
      </c>
      <c r="I23" s="103">
        <f t="shared" si="5"/>
        <v>247951.84001629872</v>
      </c>
      <c r="J23" s="103">
        <f>SUM($H$18:$H23)</f>
        <v>5419.0169070426782</v>
      </c>
    </row>
    <row r="24" spans="1:10" x14ac:dyDescent="0.2">
      <c r="A24" s="101">
        <f>IF(Values_Entered,A23+1,"")</f>
        <v>7</v>
      </c>
      <c r="B24" s="102">
        <f t="shared" si="0"/>
        <v>44743</v>
      </c>
      <c r="C24" s="103">
        <f t="shared" si="6"/>
        <v>247951.84001629872</v>
      </c>
      <c r="D24" s="103">
        <f t="shared" si="1"/>
        <v>1244.5294817906613</v>
      </c>
      <c r="E24" s="104">
        <f t="shared" si="2"/>
        <v>0</v>
      </c>
      <c r="F24" s="103">
        <f t="shared" si="3"/>
        <v>1244.5294817906613</v>
      </c>
      <c r="G24" s="103">
        <f t="shared" si="4"/>
        <v>345.70406173157846</v>
      </c>
      <c r="H24" s="103">
        <f t="shared" si="7"/>
        <v>898.82542005908283</v>
      </c>
      <c r="I24" s="103">
        <f t="shared" si="5"/>
        <v>247606.13595456714</v>
      </c>
      <c r="J24" s="103">
        <f>SUM($H$18:$H24)</f>
        <v>6317.8423271017609</v>
      </c>
    </row>
    <row r="25" spans="1:10" x14ac:dyDescent="0.2">
      <c r="A25" s="101">
        <f>IF(Values_Entered,A24+1,"")</f>
        <v>8</v>
      </c>
      <c r="B25" s="102">
        <f t="shared" si="0"/>
        <v>44774</v>
      </c>
      <c r="C25" s="103">
        <f t="shared" si="6"/>
        <v>247606.13595456714</v>
      </c>
      <c r="D25" s="103">
        <f t="shared" si="1"/>
        <v>1244.5294817906613</v>
      </c>
      <c r="E25" s="104">
        <f t="shared" si="2"/>
        <v>0</v>
      </c>
      <c r="F25" s="103">
        <f t="shared" si="3"/>
        <v>1244.5294817906613</v>
      </c>
      <c r="G25" s="103">
        <f t="shared" si="4"/>
        <v>346.95723895535536</v>
      </c>
      <c r="H25" s="103">
        <f t="shared" si="7"/>
        <v>897.57224283530593</v>
      </c>
      <c r="I25" s="103">
        <f t="shared" si="5"/>
        <v>247259.17871561178</v>
      </c>
      <c r="J25" s="103">
        <f>SUM($H$18:$H25)</f>
        <v>7215.4145699370665</v>
      </c>
    </row>
    <row r="26" spans="1:10" x14ac:dyDescent="0.2">
      <c r="A26" s="101">
        <f>IF(Values_Entered,A25+1,"")</f>
        <v>9</v>
      </c>
      <c r="B26" s="102">
        <f t="shared" si="0"/>
        <v>44805</v>
      </c>
      <c r="C26" s="103">
        <f t="shared" si="6"/>
        <v>247259.17871561178</v>
      </c>
      <c r="D26" s="103">
        <f t="shared" si="1"/>
        <v>1244.5294817906613</v>
      </c>
      <c r="E26" s="104">
        <f t="shared" si="2"/>
        <v>0</v>
      </c>
      <c r="F26" s="103">
        <f t="shared" si="3"/>
        <v>1244.5294817906613</v>
      </c>
      <c r="G26" s="103">
        <f t="shared" si="4"/>
        <v>348.21495894656869</v>
      </c>
      <c r="H26" s="103">
        <f t="shared" si="7"/>
        <v>896.31452284409261</v>
      </c>
      <c r="I26" s="103">
        <f t="shared" si="5"/>
        <v>246910.96375666521</v>
      </c>
      <c r="J26" s="103">
        <f>SUM($H$18:$H26)</f>
        <v>8111.7290927811591</v>
      </c>
    </row>
    <row r="27" spans="1:10" x14ac:dyDescent="0.2">
      <c r="A27" s="101">
        <f>IF(Values_Entered,A26+1,"")</f>
        <v>10</v>
      </c>
      <c r="B27" s="102">
        <f t="shared" si="0"/>
        <v>44835</v>
      </c>
      <c r="C27" s="103">
        <f t="shared" si="6"/>
        <v>246910.96375666521</v>
      </c>
      <c r="D27" s="103">
        <f t="shared" si="1"/>
        <v>1244.5294817906613</v>
      </c>
      <c r="E27" s="104">
        <f t="shared" si="2"/>
        <v>0</v>
      </c>
      <c r="F27" s="103">
        <f t="shared" si="3"/>
        <v>1244.5294817906613</v>
      </c>
      <c r="G27" s="103">
        <f t="shared" si="4"/>
        <v>349.47723817274994</v>
      </c>
      <c r="H27" s="103">
        <f t="shared" si="7"/>
        <v>895.05224361791136</v>
      </c>
      <c r="I27" s="103">
        <f t="shared" si="5"/>
        <v>246561.48651849246</v>
      </c>
      <c r="J27" s="103">
        <f>SUM($H$18:$H27)</f>
        <v>9006.7813363990699</v>
      </c>
    </row>
    <row r="28" spans="1:10" x14ac:dyDescent="0.2">
      <c r="A28" s="101">
        <f>IF(Values_Entered,A27+1,"")</f>
        <v>11</v>
      </c>
      <c r="B28" s="102">
        <f t="shared" si="0"/>
        <v>44866</v>
      </c>
      <c r="C28" s="103">
        <f t="shared" si="6"/>
        <v>246561.48651849246</v>
      </c>
      <c r="D28" s="103">
        <f t="shared" si="1"/>
        <v>1244.5294817906613</v>
      </c>
      <c r="E28" s="104">
        <f t="shared" si="2"/>
        <v>0</v>
      </c>
      <c r="F28" s="103">
        <f t="shared" si="3"/>
        <v>1244.5294817906613</v>
      </c>
      <c r="G28" s="103">
        <f t="shared" si="4"/>
        <v>350.74409316112622</v>
      </c>
      <c r="H28" s="103">
        <f t="shared" si="7"/>
        <v>893.78538862953508</v>
      </c>
      <c r="I28" s="103">
        <f t="shared" si="5"/>
        <v>246210.74242533132</v>
      </c>
      <c r="J28" s="103">
        <f>SUM($H$18:$H28)</f>
        <v>9900.5667250286042</v>
      </c>
    </row>
    <row r="29" spans="1:10" x14ac:dyDescent="0.2">
      <c r="A29" s="101">
        <f>IF(Values_Entered,A28+1,"")</f>
        <v>12</v>
      </c>
      <c r="B29" s="102">
        <f t="shared" si="0"/>
        <v>44896</v>
      </c>
      <c r="C29" s="103">
        <f t="shared" si="6"/>
        <v>246210.74242533132</v>
      </c>
      <c r="D29" s="103">
        <f t="shared" si="1"/>
        <v>1244.5294817906613</v>
      </c>
      <c r="E29" s="104">
        <f t="shared" si="2"/>
        <v>0</v>
      </c>
      <c r="F29" s="103">
        <f t="shared" si="3"/>
        <v>1244.5294817906613</v>
      </c>
      <c r="G29" s="103">
        <f t="shared" si="4"/>
        <v>352.01554049883532</v>
      </c>
      <c r="H29" s="103">
        <f t="shared" si="7"/>
        <v>892.51394129182597</v>
      </c>
      <c r="I29" s="103">
        <f t="shared" si="5"/>
        <v>245858.72688483249</v>
      </c>
      <c r="J29" s="103">
        <f>SUM($H$18:$H29)</f>
        <v>10793.080666320429</v>
      </c>
    </row>
    <row r="30" spans="1:10" x14ac:dyDescent="0.2">
      <c r="A30" s="101">
        <f>IF(Values_Entered,A29+1,"")</f>
        <v>13</v>
      </c>
      <c r="B30" s="102">
        <f t="shared" si="0"/>
        <v>44927</v>
      </c>
      <c r="C30" s="103">
        <f t="shared" si="6"/>
        <v>245858.72688483249</v>
      </c>
      <c r="D30" s="103">
        <f t="shared" si="1"/>
        <v>1244.5294817906613</v>
      </c>
      <c r="E30" s="104">
        <f t="shared" si="2"/>
        <v>0</v>
      </c>
      <c r="F30" s="103">
        <f t="shared" si="3"/>
        <v>1244.5294817906613</v>
      </c>
      <c r="G30" s="103">
        <f t="shared" si="4"/>
        <v>353.29159683314367</v>
      </c>
      <c r="H30" s="103">
        <f t="shared" si="7"/>
        <v>891.23788495751762</v>
      </c>
      <c r="I30" s="103">
        <f t="shared" si="5"/>
        <v>245505.43528799934</v>
      </c>
      <c r="J30" s="103">
        <f>SUM($H$18:$H30)</f>
        <v>11684.318551277947</v>
      </c>
    </row>
    <row r="31" spans="1:10" x14ac:dyDescent="0.2">
      <c r="A31" s="101">
        <f>IF(Values_Entered,A30+1,"")</f>
        <v>14</v>
      </c>
      <c r="B31" s="102">
        <f t="shared" si="0"/>
        <v>44958</v>
      </c>
      <c r="C31" s="103">
        <f t="shared" si="6"/>
        <v>245505.43528799934</v>
      </c>
      <c r="D31" s="103">
        <f t="shared" si="1"/>
        <v>1244.5294817906613</v>
      </c>
      <c r="E31" s="104">
        <f t="shared" si="2"/>
        <v>0</v>
      </c>
      <c r="F31" s="103">
        <f t="shared" si="3"/>
        <v>1244.5294817906613</v>
      </c>
      <c r="G31" s="103">
        <f t="shared" si="4"/>
        <v>354.57227887166368</v>
      </c>
      <c r="H31" s="103">
        <f t="shared" si="7"/>
        <v>889.95720291899761</v>
      </c>
      <c r="I31" s="103">
        <f t="shared" si="5"/>
        <v>245150.86300912767</v>
      </c>
      <c r="J31" s="103">
        <f>SUM($H$18:$H31)</f>
        <v>12574.275754196944</v>
      </c>
    </row>
    <row r="32" spans="1:10" x14ac:dyDescent="0.2">
      <c r="A32" s="101">
        <f>IF(Values_Entered,A31+1,"")</f>
        <v>15</v>
      </c>
      <c r="B32" s="102">
        <f t="shared" si="0"/>
        <v>44986</v>
      </c>
      <c r="C32" s="103">
        <f t="shared" si="6"/>
        <v>245150.86300912767</v>
      </c>
      <c r="D32" s="103">
        <f t="shared" si="1"/>
        <v>1244.5294817906613</v>
      </c>
      <c r="E32" s="104">
        <f t="shared" si="2"/>
        <v>0</v>
      </c>
      <c r="F32" s="103">
        <f t="shared" si="3"/>
        <v>1244.5294817906613</v>
      </c>
      <c r="G32" s="103">
        <f t="shared" si="4"/>
        <v>355.85760338257353</v>
      </c>
      <c r="H32" s="103">
        <f t="shared" si="7"/>
        <v>888.67187840808776</v>
      </c>
      <c r="I32" s="103">
        <f t="shared" si="5"/>
        <v>244795.00540574509</v>
      </c>
      <c r="J32" s="103">
        <f>SUM($H$18:$H32)</f>
        <v>13462.947632605032</v>
      </c>
    </row>
    <row r="33" spans="1:10" x14ac:dyDescent="0.2">
      <c r="A33" s="101">
        <f>IF(Values_Entered,A32+1,"")</f>
        <v>16</v>
      </c>
      <c r="B33" s="102">
        <f t="shared" si="0"/>
        <v>45017</v>
      </c>
      <c r="C33" s="103">
        <f t="shared" si="6"/>
        <v>244795.00540574509</v>
      </c>
      <c r="D33" s="103">
        <f t="shared" si="1"/>
        <v>1244.5294817906613</v>
      </c>
      <c r="E33" s="104">
        <f t="shared" si="2"/>
        <v>0</v>
      </c>
      <c r="F33" s="103">
        <f t="shared" si="3"/>
        <v>1244.5294817906613</v>
      </c>
      <c r="G33" s="103">
        <f t="shared" si="4"/>
        <v>357.14758719483541</v>
      </c>
      <c r="H33" s="103">
        <f t="shared" si="7"/>
        <v>887.38189459582588</v>
      </c>
      <c r="I33" s="103">
        <f t="shared" si="5"/>
        <v>244437.85781855026</v>
      </c>
      <c r="J33" s="103">
        <f>SUM($H$18:$H33)</f>
        <v>14350.329527200858</v>
      </c>
    </row>
    <row r="34" spans="1:10" x14ac:dyDescent="0.2">
      <c r="A34" s="101">
        <f>IF(Values_Entered,A33+1,"")</f>
        <v>17</v>
      </c>
      <c r="B34" s="102">
        <f t="shared" si="0"/>
        <v>45047</v>
      </c>
      <c r="C34" s="103">
        <f t="shared" si="6"/>
        <v>244437.85781855026</v>
      </c>
      <c r="D34" s="103">
        <f t="shared" si="1"/>
        <v>1244.5294817906613</v>
      </c>
      <c r="E34" s="104">
        <f t="shared" si="2"/>
        <v>0</v>
      </c>
      <c r="F34" s="103">
        <f t="shared" si="3"/>
        <v>1244.5294817906613</v>
      </c>
      <c r="G34" s="103">
        <f t="shared" si="4"/>
        <v>358.44224719841657</v>
      </c>
      <c r="H34" s="103">
        <f t="shared" si="7"/>
        <v>886.08723459224473</v>
      </c>
      <c r="I34" s="103">
        <f t="shared" si="5"/>
        <v>244079.41557135183</v>
      </c>
      <c r="J34" s="103">
        <f>SUM($H$18:$H34)</f>
        <v>15236.416761793103</v>
      </c>
    </row>
    <row r="35" spans="1:10" x14ac:dyDescent="0.2">
      <c r="A35" s="101">
        <f>IF(Values_Entered,A34+1,"")</f>
        <v>18</v>
      </c>
      <c r="B35" s="102">
        <f t="shared" si="0"/>
        <v>45078</v>
      </c>
      <c r="C35" s="103">
        <f t="shared" si="6"/>
        <v>244079.41557135183</v>
      </c>
      <c r="D35" s="103">
        <f t="shared" si="1"/>
        <v>1244.5294817906613</v>
      </c>
      <c r="E35" s="104">
        <f t="shared" si="2"/>
        <v>0</v>
      </c>
      <c r="F35" s="103">
        <f t="shared" si="3"/>
        <v>1244.5294817906613</v>
      </c>
      <c r="G35" s="103">
        <f t="shared" si="4"/>
        <v>359.74160034451108</v>
      </c>
      <c r="H35" s="103">
        <f t="shared" si="7"/>
        <v>884.78788144615021</v>
      </c>
      <c r="I35" s="103">
        <f t="shared" si="5"/>
        <v>243719.67397100732</v>
      </c>
      <c r="J35" s="103">
        <f>SUM($H$18:$H35)</f>
        <v>16121.204643239254</v>
      </c>
    </row>
    <row r="36" spans="1:10" x14ac:dyDescent="0.2">
      <c r="A36" s="101">
        <f>IF(Values_Entered,A35+1,"")</f>
        <v>19</v>
      </c>
      <c r="B36" s="102">
        <f t="shared" si="0"/>
        <v>45108</v>
      </c>
      <c r="C36" s="103">
        <f t="shared" si="6"/>
        <v>243719.67397100732</v>
      </c>
      <c r="D36" s="103">
        <f t="shared" si="1"/>
        <v>1244.5294817906613</v>
      </c>
      <c r="E36" s="104">
        <f t="shared" si="2"/>
        <v>0</v>
      </c>
      <c r="F36" s="103">
        <f t="shared" si="3"/>
        <v>1244.5294817906613</v>
      </c>
      <c r="G36" s="103">
        <f t="shared" si="4"/>
        <v>361.04566364575987</v>
      </c>
      <c r="H36" s="103">
        <f t="shared" si="7"/>
        <v>883.48381814490142</v>
      </c>
      <c r="I36" s="103">
        <f t="shared" si="5"/>
        <v>243358.62830736156</v>
      </c>
      <c r="J36" s="103">
        <f>SUM($H$18:$H36)</f>
        <v>17004.688461384158</v>
      </c>
    </row>
    <row r="37" spans="1:10" x14ac:dyDescent="0.2">
      <c r="A37" s="101">
        <f>IF(Values_Entered,A36+1,"")</f>
        <v>20</v>
      </c>
      <c r="B37" s="102">
        <f t="shared" si="0"/>
        <v>45139</v>
      </c>
      <c r="C37" s="103">
        <f t="shared" si="6"/>
        <v>243358.62830736156</v>
      </c>
      <c r="D37" s="103">
        <f t="shared" si="1"/>
        <v>1244.5294817906613</v>
      </c>
      <c r="E37" s="104">
        <f t="shared" si="2"/>
        <v>0</v>
      </c>
      <c r="F37" s="103">
        <f t="shared" si="3"/>
        <v>1244.5294817906613</v>
      </c>
      <c r="G37" s="103">
        <f t="shared" si="4"/>
        <v>362.35445417647566</v>
      </c>
      <c r="H37" s="103">
        <f t="shared" si="7"/>
        <v>882.17502761418564</v>
      </c>
      <c r="I37" s="103">
        <f t="shared" si="5"/>
        <v>242996.27385318509</v>
      </c>
      <c r="J37" s="103">
        <f>SUM($H$18:$H37)</f>
        <v>17886.863488998344</v>
      </c>
    </row>
    <row r="38" spans="1:10" x14ac:dyDescent="0.2">
      <c r="A38" s="101">
        <f>IF(Values_Entered,A37+1,"")</f>
        <v>21</v>
      </c>
      <c r="B38" s="102">
        <f t="shared" si="0"/>
        <v>45170</v>
      </c>
      <c r="C38" s="103">
        <f t="shared" si="6"/>
        <v>242996.27385318509</v>
      </c>
      <c r="D38" s="103">
        <f t="shared" si="1"/>
        <v>1244.5294817906613</v>
      </c>
      <c r="E38" s="104">
        <f t="shared" si="2"/>
        <v>0</v>
      </c>
      <c r="F38" s="103">
        <f t="shared" si="3"/>
        <v>1244.5294817906613</v>
      </c>
      <c r="G38" s="103">
        <f t="shared" si="4"/>
        <v>363.66798907286534</v>
      </c>
      <c r="H38" s="103">
        <f t="shared" si="7"/>
        <v>880.86149271779595</v>
      </c>
      <c r="I38" s="103">
        <f t="shared" si="5"/>
        <v>242632.60586411224</v>
      </c>
      <c r="J38" s="103">
        <f>SUM($H$18:$H38)</f>
        <v>18767.724981716139</v>
      </c>
    </row>
    <row r="39" spans="1:10" x14ac:dyDescent="0.2">
      <c r="A39" s="101">
        <f>IF(Values_Entered,A38+1,"")</f>
        <v>22</v>
      </c>
      <c r="B39" s="102">
        <f t="shared" si="0"/>
        <v>45200</v>
      </c>
      <c r="C39" s="103">
        <f t="shared" si="6"/>
        <v>242632.60586411224</v>
      </c>
      <c r="D39" s="103">
        <f t="shared" si="1"/>
        <v>1244.5294817906613</v>
      </c>
      <c r="E39" s="104">
        <f t="shared" si="2"/>
        <v>0</v>
      </c>
      <c r="F39" s="103">
        <f t="shared" si="3"/>
        <v>1244.5294817906613</v>
      </c>
      <c r="G39" s="103">
        <f t="shared" si="4"/>
        <v>364.98628553325455</v>
      </c>
      <c r="H39" s="103">
        <f t="shared" si="7"/>
        <v>879.54319625740675</v>
      </c>
      <c r="I39" s="103">
        <f t="shared" si="5"/>
        <v>242267.61957857898</v>
      </c>
      <c r="J39" s="103">
        <f>SUM($H$18:$H39)</f>
        <v>19647.268177973547</v>
      </c>
    </row>
    <row r="40" spans="1:10" x14ac:dyDescent="0.2">
      <c r="A40" s="101">
        <f>IF(Values_Entered,A39+1,"")</f>
        <v>23</v>
      </c>
      <c r="B40" s="102">
        <f t="shared" si="0"/>
        <v>45231</v>
      </c>
      <c r="C40" s="103">
        <f t="shared" si="6"/>
        <v>242267.61957857898</v>
      </c>
      <c r="D40" s="103">
        <f t="shared" si="1"/>
        <v>1244.5294817906613</v>
      </c>
      <c r="E40" s="104">
        <f t="shared" si="2"/>
        <v>0</v>
      </c>
      <c r="F40" s="103">
        <f t="shared" si="3"/>
        <v>1244.5294817906613</v>
      </c>
      <c r="G40" s="103">
        <f t="shared" si="4"/>
        <v>366.30936081831248</v>
      </c>
      <c r="H40" s="103">
        <f t="shared" si="7"/>
        <v>878.22012097234881</v>
      </c>
      <c r="I40" s="103">
        <f t="shared" si="5"/>
        <v>241901.31021776065</v>
      </c>
      <c r="J40" s="103">
        <f>SUM($H$18:$H40)</f>
        <v>20525.488298945897</v>
      </c>
    </row>
    <row r="41" spans="1:10" x14ac:dyDescent="0.2">
      <c r="A41" s="101">
        <f>IF(Values_Entered,A40+1,"")</f>
        <v>24</v>
      </c>
      <c r="B41" s="102">
        <f t="shared" si="0"/>
        <v>45261</v>
      </c>
      <c r="C41" s="103">
        <f t="shared" si="6"/>
        <v>241901.31021776065</v>
      </c>
      <c r="D41" s="103">
        <f t="shared" si="1"/>
        <v>1244.5294817906613</v>
      </c>
      <c r="E41" s="104">
        <f t="shared" si="2"/>
        <v>0</v>
      </c>
      <c r="F41" s="103">
        <f t="shared" si="3"/>
        <v>1244.5294817906613</v>
      </c>
      <c r="G41" s="103">
        <f t="shared" si="4"/>
        <v>367.63723225127899</v>
      </c>
      <c r="H41" s="103">
        <f t="shared" si="7"/>
        <v>876.89224953938231</v>
      </c>
      <c r="I41" s="103">
        <f t="shared" si="5"/>
        <v>241533.67298550936</v>
      </c>
      <c r="J41" s="103">
        <f>SUM($H$18:$H41)</f>
        <v>21402.380548485278</v>
      </c>
    </row>
    <row r="42" spans="1:10" x14ac:dyDescent="0.2">
      <c r="A42" s="101">
        <f>IF(Values_Entered,A41+1,"")</f>
        <v>25</v>
      </c>
      <c r="B42" s="102">
        <f t="shared" si="0"/>
        <v>45292</v>
      </c>
      <c r="C42" s="103">
        <f t="shared" si="6"/>
        <v>241533.67298550936</v>
      </c>
      <c r="D42" s="103">
        <f t="shared" si="1"/>
        <v>1244.5294817906613</v>
      </c>
      <c r="E42" s="104">
        <f t="shared" si="2"/>
        <v>0</v>
      </c>
      <c r="F42" s="103">
        <f t="shared" si="3"/>
        <v>1244.5294817906613</v>
      </c>
      <c r="G42" s="103">
        <f t="shared" si="4"/>
        <v>368.96991721818983</v>
      </c>
      <c r="H42" s="103">
        <f t="shared" si="7"/>
        <v>875.55956457247146</v>
      </c>
      <c r="I42" s="103">
        <f t="shared" si="5"/>
        <v>241164.70306829116</v>
      </c>
      <c r="J42" s="103">
        <f>SUM($H$18:$H42)</f>
        <v>22277.94011305775</v>
      </c>
    </row>
    <row r="43" spans="1:10" x14ac:dyDescent="0.2">
      <c r="A43" s="101">
        <f>IF(Values_Entered,A42+1,"")</f>
        <v>26</v>
      </c>
      <c r="B43" s="102">
        <f t="shared" si="0"/>
        <v>45323</v>
      </c>
      <c r="C43" s="103">
        <f t="shared" si="6"/>
        <v>241164.70306829116</v>
      </c>
      <c r="D43" s="103">
        <f t="shared" si="1"/>
        <v>1244.5294817906613</v>
      </c>
      <c r="E43" s="104">
        <f t="shared" si="2"/>
        <v>0</v>
      </c>
      <c r="F43" s="103">
        <f t="shared" si="3"/>
        <v>1244.5294817906613</v>
      </c>
      <c r="G43" s="103">
        <f t="shared" si="4"/>
        <v>370.30743316810583</v>
      </c>
      <c r="H43" s="103">
        <f t="shared" si="7"/>
        <v>874.22204862255546</v>
      </c>
      <c r="I43" s="103">
        <f t="shared" si="5"/>
        <v>240794.39563512304</v>
      </c>
      <c r="J43" s="103">
        <f>SUM($H$18:$H43)</f>
        <v>23152.162161680306</v>
      </c>
    </row>
    <row r="44" spans="1:10" x14ac:dyDescent="0.2">
      <c r="A44" s="101">
        <f>IF(Values_Entered,A43+1,"")</f>
        <v>27</v>
      </c>
      <c r="B44" s="102">
        <f t="shared" si="0"/>
        <v>45352</v>
      </c>
      <c r="C44" s="103">
        <f t="shared" si="6"/>
        <v>240794.39563512304</v>
      </c>
      <c r="D44" s="103">
        <f t="shared" si="1"/>
        <v>1244.5294817906613</v>
      </c>
      <c r="E44" s="104">
        <f t="shared" si="2"/>
        <v>0</v>
      </c>
      <c r="F44" s="103">
        <f t="shared" si="3"/>
        <v>1244.5294817906613</v>
      </c>
      <c r="G44" s="103">
        <f t="shared" si="4"/>
        <v>371.6497976133403</v>
      </c>
      <c r="H44" s="103">
        <f t="shared" si="7"/>
        <v>872.879684177321</v>
      </c>
      <c r="I44" s="103">
        <f t="shared" si="5"/>
        <v>240422.74583750969</v>
      </c>
      <c r="J44" s="103">
        <f>SUM($H$18:$H44)</f>
        <v>24025.041845857628</v>
      </c>
    </row>
    <row r="45" spans="1:10" x14ac:dyDescent="0.2">
      <c r="A45" s="101">
        <f>IF(Values_Entered,A44+1,"")</f>
        <v>28</v>
      </c>
      <c r="B45" s="102">
        <f t="shared" si="0"/>
        <v>45383</v>
      </c>
      <c r="C45" s="103">
        <f t="shared" si="6"/>
        <v>240422.74583750969</v>
      </c>
      <c r="D45" s="103">
        <f t="shared" si="1"/>
        <v>1244.5294817906613</v>
      </c>
      <c r="E45" s="104">
        <f t="shared" si="2"/>
        <v>0</v>
      </c>
      <c r="F45" s="103">
        <f t="shared" si="3"/>
        <v>1244.5294817906613</v>
      </c>
      <c r="G45" s="103">
        <f t="shared" si="4"/>
        <v>372.99702812968883</v>
      </c>
      <c r="H45" s="103">
        <f t="shared" si="7"/>
        <v>871.53245366097246</v>
      </c>
      <c r="I45" s="103">
        <f t="shared" si="5"/>
        <v>240049.74880937999</v>
      </c>
      <c r="J45" s="103">
        <f>SUM($H$18:$H45)</f>
        <v>24896.574299518601</v>
      </c>
    </row>
    <row r="46" spans="1:10" x14ac:dyDescent="0.2">
      <c r="A46" s="101">
        <f>IF(Values_Entered,A45+1,"")</f>
        <v>29</v>
      </c>
      <c r="B46" s="102">
        <f t="shared" si="0"/>
        <v>45413</v>
      </c>
      <c r="C46" s="103">
        <f t="shared" si="6"/>
        <v>240049.74880937999</v>
      </c>
      <c r="D46" s="103">
        <f t="shared" si="1"/>
        <v>1244.5294817906613</v>
      </c>
      <c r="E46" s="104">
        <f t="shared" si="2"/>
        <v>0</v>
      </c>
      <c r="F46" s="103">
        <f t="shared" si="3"/>
        <v>1244.5294817906613</v>
      </c>
      <c r="G46" s="103">
        <f t="shared" si="4"/>
        <v>374.34914235665894</v>
      </c>
      <c r="H46" s="103">
        <f t="shared" si="7"/>
        <v>870.18033943400235</v>
      </c>
      <c r="I46" s="103">
        <f t="shared" si="5"/>
        <v>239675.39966702333</v>
      </c>
      <c r="J46" s="103">
        <f>SUM($H$18:$H46)</f>
        <v>25766.754638952603</v>
      </c>
    </row>
    <row r="47" spans="1:10" x14ac:dyDescent="0.2">
      <c r="A47" s="101">
        <f>IF(Values_Entered,A46+1,"")</f>
        <v>30</v>
      </c>
      <c r="B47" s="102">
        <f t="shared" si="0"/>
        <v>45444</v>
      </c>
      <c r="C47" s="103">
        <f t="shared" si="6"/>
        <v>239675.39966702333</v>
      </c>
      <c r="D47" s="103">
        <f t="shared" si="1"/>
        <v>1244.5294817906613</v>
      </c>
      <c r="E47" s="104">
        <f t="shared" si="2"/>
        <v>0</v>
      </c>
      <c r="F47" s="103">
        <f t="shared" si="3"/>
        <v>1244.5294817906613</v>
      </c>
      <c r="G47" s="103">
        <f t="shared" si="4"/>
        <v>375.70615799770178</v>
      </c>
      <c r="H47" s="103">
        <f t="shared" si="7"/>
        <v>868.82332379295951</v>
      </c>
      <c r="I47" s="103">
        <f t="shared" si="5"/>
        <v>239299.69350902562</v>
      </c>
      <c r="J47" s="103">
        <f>SUM($H$18:$H47)</f>
        <v>26635.577962745563</v>
      </c>
    </row>
    <row r="48" spans="1:10" x14ac:dyDescent="0.2">
      <c r="A48" s="101">
        <f>IF(Values_Entered,A47+1,"")</f>
        <v>31</v>
      </c>
      <c r="B48" s="102">
        <f t="shared" si="0"/>
        <v>45474</v>
      </c>
      <c r="C48" s="103">
        <f t="shared" si="6"/>
        <v>239299.69350902562</v>
      </c>
      <c r="D48" s="103">
        <f t="shared" si="1"/>
        <v>1244.5294817906613</v>
      </c>
      <c r="E48" s="104">
        <f t="shared" si="2"/>
        <v>0</v>
      </c>
      <c r="F48" s="103">
        <f t="shared" si="3"/>
        <v>1244.5294817906613</v>
      </c>
      <c r="G48" s="103">
        <f t="shared" si="4"/>
        <v>377.06809282044355</v>
      </c>
      <c r="H48" s="103">
        <f t="shared" si="7"/>
        <v>867.46138897021774</v>
      </c>
      <c r="I48" s="103">
        <f t="shared" si="5"/>
        <v>238922.62541620518</v>
      </c>
      <c r="J48" s="103">
        <f>SUM($H$18:$H48)</f>
        <v>27503.039351715779</v>
      </c>
    </row>
    <row r="49" spans="1:10" x14ac:dyDescent="0.2">
      <c r="A49" s="101">
        <f>IF(Values_Entered,A48+1,"")</f>
        <v>32</v>
      </c>
      <c r="B49" s="102">
        <f t="shared" si="0"/>
        <v>45505</v>
      </c>
      <c r="C49" s="103">
        <f t="shared" si="6"/>
        <v>238922.62541620518</v>
      </c>
      <c r="D49" s="103">
        <f t="shared" si="1"/>
        <v>1244.5294817906613</v>
      </c>
      <c r="E49" s="104">
        <f t="shared" si="2"/>
        <v>0</v>
      </c>
      <c r="F49" s="103">
        <f t="shared" si="3"/>
        <v>1244.5294817906613</v>
      </c>
      <c r="G49" s="103">
        <f t="shared" si="4"/>
        <v>378.43496465691749</v>
      </c>
      <c r="H49" s="103">
        <f t="shared" si="7"/>
        <v>866.09451713374381</v>
      </c>
      <c r="I49" s="103">
        <f t="shared" si="5"/>
        <v>238544.19045154826</v>
      </c>
      <c r="J49" s="103">
        <f>SUM($H$18:$H49)</f>
        <v>28369.133868849523</v>
      </c>
    </row>
    <row r="50" spans="1:10" x14ac:dyDescent="0.2">
      <c r="A50" s="101">
        <f>IF(Values_Entered,A49+1,"")</f>
        <v>33</v>
      </c>
      <c r="B50" s="102">
        <f t="shared" si="0"/>
        <v>45536</v>
      </c>
      <c r="C50" s="103">
        <f t="shared" si="6"/>
        <v>238544.19045154826</v>
      </c>
      <c r="D50" s="103">
        <f t="shared" si="1"/>
        <v>1244.5294817906613</v>
      </c>
      <c r="E50" s="104">
        <f t="shared" si="2"/>
        <v>0</v>
      </c>
      <c r="F50" s="103">
        <f t="shared" si="3"/>
        <v>1244.5294817906613</v>
      </c>
      <c r="G50" s="103">
        <f t="shared" si="4"/>
        <v>379.80679140379891</v>
      </c>
      <c r="H50" s="103">
        <f t="shared" si="7"/>
        <v>864.72269038686238</v>
      </c>
      <c r="I50" s="103">
        <f t="shared" si="5"/>
        <v>238164.38366014446</v>
      </c>
      <c r="J50" s="103">
        <f>SUM($H$18:$H50)</f>
        <v>29233.856559236385</v>
      </c>
    </row>
    <row r="51" spans="1:10" x14ac:dyDescent="0.2">
      <c r="A51" s="101">
        <f>IF(Values_Entered,A50+1,"")</f>
        <v>34</v>
      </c>
      <c r="B51" s="102">
        <f t="shared" si="0"/>
        <v>45566</v>
      </c>
      <c r="C51" s="103">
        <f t="shared" si="6"/>
        <v>238164.38366014446</v>
      </c>
      <c r="D51" s="103">
        <f t="shared" si="1"/>
        <v>1244.5294817906613</v>
      </c>
      <c r="E51" s="104">
        <f t="shared" si="2"/>
        <v>0</v>
      </c>
      <c r="F51" s="103">
        <f t="shared" si="3"/>
        <v>1244.5294817906613</v>
      </c>
      <c r="G51" s="103">
        <f t="shared" si="4"/>
        <v>381.18359102263764</v>
      </c>
      <c r="H51" s="103">
        <f t="shared" si="7"/>
        <v>863.34589076802365</v>
      </c>
      <c r="I51" s="103">
        <f t="shared" si="5"/>
        <v>237783.20006912181</v>
      </c>
      <c r="J51" s="103">
        <f>SUM($H$18:$H51)</f>
        <v>30097.20245000441</v>
      </c>
    </row>
    <row r="52" spans="1:10" x14ac:dyDescent="0.2">
      <c r="A52" s="101">
        <f>IF(Values_Entered,A51+1,"")</f>
        <v>35</v>
      </c>
      <c r="B52" s="102">
        <f t="shared" si="0"/>
        <v>45597</v>
      </c>
      <c r="C52" s="103">
        <f t="shared" si="6"/>
        <v>237783.20006912181</v>
      </c>
      <c r="D52" s="103">
        <f t="shared" si="1"/>
        <v>1244.5294817906613</v>
      </c>
      <c r="E52" s="104">
        <f t="shared" si="2"/>
        <v>0</v>
      </c>
      <c r="F52" s="103">
        <f t="shared" si="3"/>
        <v>1244.5294817906613</v>
      </c>
      <c r="G52" s="103">
        <f t="shared" si="4"/>
        <v>382.56538154009479</v>
      </c>
      <c r="H52" s="103">
        <f t="shared" si="7"/>
        <v>861.9641002505665</v>
      </c>
      <c r="I52" s="103">
        <f t="shared" si="5"/>
        <v>237400.63468758171</v>
      </c>
      <c r="J52" s="103">
        <f>SUM($H$18:$H52)</f>
        <v>30959.166550254977</v>
      </c>
    </row>
    <row r="53" spans="1:10" x14ac:dyDescent="0.2">
      <c r="A53" s="101">
        <f>IF(Values_Entered,A52+1,"")</f>
        <v>36</v>
      </c>
      <c r="B53" s="102">
        <f t="shared" si="0"/>
        <v>45627</v>
      </c>
      <c r="C53" s="103">
        <f t="shared" si="6"/>
        <v>237400.63468758171</v>
      </c>
      <c r="D53" s="103">
        <f t="shared" si="1"/>
        <v>1244.5294817906613</v>
      </c>
      <c r="E53" s="104">
        <f t="shared" si="2"/>
        <v>0</v>
      </c>
      <c r="F53" s="103">
        <f t="shared" si="3"/>
        <v>1244.5294817906613</v>
      </c>
      <c r="G53" s="103">
        <f t="shared" si="4"/>
        <v>383.95218104817764</v>
      </c>
      <c r="H53" s="103">
        <f t="shared" si="7"/>
        <v>860.57730074248366</v>
      </c>
      <c r="I53" s="103">
        <f t="shared" si="5"/>
        <v>237016.68250653354</v>
      </c>
      <c r="J53" s="103">
        <f>SUM($H$18:$H53)</f>
        <v>31819.74385099746</v>
      </c>
    </row>
    <row r="54" spans="1:10" x14ac:dyDescent="0.2">
      <c r="A54" s="101">
        <f>IF(Values_Entered,A53+1,"")</f>
        <v>37</v>
      </c>
      <c r="B54" s="102">
        <f t="shared" si="0"/>
        <v>45658</v>
      </c>
      <c r="C54" s="103">
        <f t="shared" si="6"/>
        <v>237016.68250653354</v>
      </c>
      <c r="D54" s="103">
        <f t="shared" si="1"/>
        <v>1244.5294817906613</v>
      </c>
      <c r="E54" s="104">
        <f t="shared" si="2"/>
        <v>0</v>
      </c>
      <c r="F54" s="103">
        <f t="shared" si="3"/>
        <v>1244.5294817906613</v>
      </c>
      <c r="G54" s="103">
        <f t="shared" si="4"/>
        <v>385.34400770447724</v>
      </c>
      <c r="H54" s="103">
        <f t="shared" si="7"/>
        <v>859.18547408618406</v>
      </c>
      <c r="I54" s="103">
        <f t="shared" si="5"/>
        <v>236631.33849882908</v>
      </c>
      <c r="J54" s="103">
        <f>SUM($H$18:$H54)</f>
        <v>32678.929325083645</v>
      </c>
    </row>
    <row r="55" spans="1:10" x14ac:dyDescent="0.2">
      <c r="A55" s="101">
        <f>IF(Values_Entered,A54+1,"")</f>
        <v>38</v>
      </c>
      <c r="B55" s="102">
        <f t="shared" si="0"/>
        <v>45689</v>
      </c>
      <c r="C55" s="103">
        <f t="shared" si="6"/>
        <v>236631.33849882908</v>
      </c>
      <c r="D55" s="103">
        <f t="shared" si="1"/>
        <v>1244.5294817906613</v>
      </c>
      <c r="E55" s="104">
        <f t="shared" si="2"/>
        <v>0</v>
      </c>
      <c r="F55" s="103">
        <f t="shared" si="3"/>
        <v>1244.5294817906613</v>
      </c>
      <c r="G55" s="103">
        <f t="shared" si="4"/>
        <v>386.74087973240592</v>
      </c>
      <c r="H55" s="103">
        <f t="shared" si="7"/>
        <v>857.78860205825538</v>
      </c>
      <c r="I55" s="103">
        <f t="shared" si="5"/>
        <v>236244.59761909666</v>
      </c>
      <c r="J55" s="103">
        <f>SUM($H$18:$H55)</f>
        <v>33536.717927141901</v>
      </c>
    </row>
    <row r="56" spans="1:10" x14ac:dyDescent="0.2">
      <c r="A56" s="101">
        <f>IF(Values_Entered,A55+1,"")</f>
        <v>39</v>
      </c>
      <c r="B56" s="102">
        <f t="shared" si="0"/>
        <v>45717</v>
      </c>
      <c r="C56" s="103">
        <f t="shared" si="6"/>
        <v>236244.59761909666</v>
      </c>
      <c r="D56" s="103">
        <f t="shared" si="1"/>
        <v>1244.5294817906613</v>
      </c>
      <c r="E56" s="104">
        <f t="shared" si="2"/>
        <v>0</v>
      </c>
      <c r="F56" s="103">
        <f t="shared" si="3"/>
        <v>1244.5294817906613</v>
      </c>
      <c r="G56" s="103">
        <f t="shared" si="4"/>
        <v>388.14281542143601</v>
      </c>
      <c r="H56" s="103">
        <f t="shared" si="7"/>
        <v>856.38666636922528</v>
      </c>
      <c r="I56" s="103">
        <f t="shared" si="5"/>
        <v>235856.45480367524</v>
      </c>
      <c r="J56" s="103">
        <f>SUM($H$18:$H56)</f>
        <v>34393.104593511125</v>
      </c>
    </row>
    <row r="57" spans="1:10" x14ac:dyDescent="0.2">
      <c r="A57" s="101">
        <f>IF(Values_Entered,A56+1,"")</f>
        <v>40</v>
      </c>
      <c r="B57" s="102">
        <f t="shared" si="0"/>
        <v>45748</v>
      </c>
      <c r="C57" s="103">
        <f t="shared" si="6"/>
        <v>235856.45480367524</v>
      </c>
      <c r="D57" s="103">
        <f t="shared" si="1"/>
        <v>1244.5294817906613</v>
      </c>
      <c r="E57" s="104">
        <f t="shared" si="2"/>
        <v>0</v>
      </c>
      <c r="F57" s="103">
        <f t="shared" si="3"/>
        <v>1244.5294817906613</v>
      </c>
      <c r="G57" s="103">
        <f t="shared" si="4"/>
        <v>389.54983312733862</v>
      </c>
      <c r="H57" s="103">
        <f t="shared" si="7"/>
        <v>854.97964866332268</v>
      </c>
      <c r="I57" s="103">
        <f t="shared" si="5"/>
        <v>235466.90497054791</v>
      </c>
      <c r="J57" s="103">
        <f>SUM($H$18:$H57)</f>
        <v>35248.084242174446</v>
      </c>
    </row>
    <row r="58" spans="1:10" x14ac:dyDescent="0.2">
      <c r="A58" s="101">
        <f>IF(Values_Entered,A57+1,"")</f>
        <v>41</v>
      </c>
      <c r="B58" s="102">
        <f t="shared" si="0"/>
        <v>45778</v>
      </c>
      <c r="C58" s="103">
        <f t="shared" si="6"/>
        <v>235466.90497054791</v>
      </c>
      <c r="D58" s="103">
        <f t="shared" si="1"/>
        <v>1244.5294817906613</v>
      </c>
      <c r="E58" s="104">
        <f t="shared" si="2"/>
        <v>0</v>
      </c>
      <c r="F58" s="103">
        <f t="shared" si="3"/>
        <v>1244.5294817906613</v>
      </c>
      <c r="G58" s="103">
        <f t="shared" si="4"/>
        <v>390.96195127242515</v>
      </c>
      <c r="H58" s="103">
        <f t="shared" si="7"/>
        <v>853.56753051823614</v>
      </c>
      <c r="I58" s="103">
        <f t="shared" si="5"/>
        <v>235075.9430192755</v>
      </c>
      <c r="J58" s="103">
        <f>SUM($H$18:$H58)</f>
        <v>36101.651772692683</v>
      </c>
    </row>
    <row r="59" spans="1:10" x14ac:dyDescent="0.2">
      <c r="A59" s="101">
        <f>IF(Values_Entered,A58+1,"")</f>
        <v>42</v>
      </c>
      <c r="B59" s="102">
        <f t="shared" si="0"/>
        <v>45809</v>
      </c>
      <c r="C59" s="103">
        <f t="shared" si="6"/>
        <v>235075.9430192755</v>
      </c>
      <c r="D59" s="103">
        <f t="shared" si="1"/>
        <v>1244.5294817906613</v>
      </c>
      <c r="E59" s="104">
        <f t="shared" si="2"/>
        <v>0</v>
      </c>
      <c r="F59" s="103">
        <f t="shared" si="3"/>
        <v>1244.5294817906613</v>
      </c>
      <c r="G59" s="103">
        <f t="shared" si="4"/>
        <v>392.37918834578772</v>
      </c>
      <c r="H59" s="103">
        <f t="shared" si="7"/>
        <v>852.15029344487357</v>
      </c>
      <c r="I59" s="103">
        <f t="shared" si="5"/>
        <v>234683.56383092972</v>
      </c>
      <c r="J59" s="103">
        <f>SUM($H$18:$H59)</f>
        <v>36953.802066137556</v>
      </c>
    </row>
    <row r="60" spans="1:10" x14ac:dyDescent="0.2">
      <c r="A60" s="101">
        <f>IF(Values_Entered,A59+1,"")</f>
        <v>43</v>
      </c>
      <c r="B60" s="102">
        <f t="shared" si="0"/>
        <v>45839</v>
      </c>
      <c r="C60" s="103">
        <f t="shared" si="6"/>
        <v>234683.56383092972</v>
      </c>
      <c r="D60" s="103">
        <f t="shared" si="1"/>
        <v>1244.5294817906613</v>
      </c>
      <c r="E60" s="104">
        <f t="shared" si="2"/>
        <v>0</v>
      </c>
      <c r="F60" s="103">
        <f t="shared" si="3"/>
        <v>1244.5294817906613</v>
      </c>
      <c r="G60" s="103">
        <f t="shared" si="4"/>
        <v>393.80156290354114</v>
      </c>
      <c r="H60" s="103">
        <f t="shared" si="7"/>
        <v>850.72791888712015</v>
      </c>
      <c r="I60" s="103">
        <f t="shared" si="5"/>
        <v>234289.76226802618</v>
      </c>
      <c r="J60" s="103">
        <f>SUM($H$18:$H60)</f>
        <v>37804.529985024674</v>
      </c>
    </row>
    <row r="61" spans="1:10" x14ac:dyDescent="0.2">
      <c r="A61" s="101">
        <f>IF(Values_Entered,A60+1,"")</f>
        <v>44</v>
      </c>
      <c r="B61" s="102">
        <f t="shared" si="0"/>
        <v>45870</v>
      </c>
      <c r="C61" s="103">
        <f t="shared" si="6"/>
        <v>234289.76226802618</v>
      </c>
      <c r="D61" s="103">
        <f t="shared" si="1"/>
        <v>1244.5294817906613</v>
      </c>
      <c r="E61" s="104">
        <f t="shared" si="2"/>
        <v>0</v>
      </c>
      <c r="F61" s="103">
        <f t="shared" si="3"/>
        <v>1244.5294817906613</v>
      </c>
      <c r="G61" s="103">
        <f t="shared" si="4"/>
        <v>395.22909356906644</v>
      </c>
      <c r="H61" s="103">
        <f t="shared" si="7"/>
        <v>849.30038822159486</v>
      </c>
      <c r="I61" s="103">
        <f t="shared" si="5"/>
        <v>233894.53317445712</v>
      </c>
      <c r="J61" s="103">
        <f>SUM($H$18:$H61)</f>
        <v>38653.830373246266</v>
      </c>
    </row>
    <row r="62" spans="1:10" x14ac:dyDescent="0.2">
      <c r="A62" s="101">
        <f>IF(Values_Entered,A61+1,"")</f>
        <v>45</v>
      </c>
      <c r="B62" s="102">
        <f t="shared" si="0"/>
        <v>45901</v>
      </c>
      <c r="C62" s="103">
        <f t="shared" si="6"/>
        <v>233894.53317445712</v>
      </c>
      <c r="D62" s="103">
        <f t="shared" si="1"/>
        <v>1244.5294817906613</v>
      </c>
      <c r="E62" s="104">
        <f t="shared" si="2"/>
        <v>0</v>
      </c>
      <c r="F62" s="103">
        <f t="shared" si="3"/>
        <v>1244.5294817906613</v>
      </c>
      <c r="G62" s="103">
        <f t="shared" si="4"/>
        <v>396.6617990332544</v>
      </c>
      <c r="H62" s="103">
        <f t="shared" si="7"/>
        <v>847.8676827574069</v>
      </c>
      <c r="I62" s="103">
        <f t="shared" si="5"/>
        <v>233497.87137542386</v>
      </c>
      <c r="J62" s="103">
        <f>SUM($H$18:$H62)</f>
        <v>39501.698056003675</v>
      </c>
    </row>
    <row r="63" spans="1:10" x14ac:dyDescent="0.2">
      <c r="A63" s="101">
        <f>IF(Values_Entered,A62+1,"")</f>
        <v>46</v>
      </c>
      <c r="B63" s="102">
        <f t="shared" si="0"/>
        <v>45931</v>
      </c>
      <c r="C63" s="103">
        <f t="shared" si="6"/>
        <v>233497.87137542386</v>
      </c>
      <c r="D63" s="103">
        <f t="shared" si="1"/>
        <v>1244.5294817906613</v>
      </c>
      <c r="E63" s="104">
        <f t="shared" si="2"/>
        <v>0</v>
      </c>
      <c r="F63" s="103">
        <f t="shared" si="3"/>
        <v>1244.5294817906613</v>
      </c>
      <c r="G63" s="103">
        <f t="shared" si="4"/>
        <v>398.09969805474987</v>
      </c>
      <c r="H63" s="103">
        <f t="shared" si="7"/>
        <v>846.42978373591143</v>
      </c>
      <c r="I63" s="103">
        <f t="shared" si="5"/>
        <v>233099.77167736911</v>
      </c>
      <c r="J63" s="103">
        <f>SUM($H$18:$H63)</f>
        <v>40348.127839739587</v>
      </c>
    </row>
    <row r="64" spans="1:10" x14ac:dyDescent="0.2">
      <c r="A64" s="101">
        <f>IF(Values_Entered,A63+1,"")</f>
        <v>47</v>
      </c>
      <c r="B64" s="102">
        <f t="shared" si="0"/>
        <v>45962</v>
      </c>
      <c r="C64" s="103">
        <f t="shared" si="6"/>
        <v>233099.77167736911</v>
      </c>
      <c r="D64" s="103">
        <f t="shared" si="1"/>
        <v>1244.5294817906613</v>
      </c>
      <c r="E64" s="104">
        <f t="shared" si="2"/>
        <v>0</v>
      </c>
      <c r="F64" s="103">
        <f t="shared" si="3"/>
        <v>1244.5294817906613</v>
      </c>
      <c r="G64" s="103">
        <f t="shared" si="4"/>
        <v>399.54280946019833</v>
      </c>
      <c r="H64" s="103">
        <f t="shared" si="7"/>
        <v>844.98667233046297</v>
      </c>
      <c r="I64" s="103">
        <f t="shared" si="5"/>
        <v>232700.22886790891</v>
      </c>
      <c r="J64" s="103">
        <f>SUM($H$18:$H64)</f>
        <v>41193.114512070053</v>
      </c>
    </row>
    <row r="65" spans="1:10" x14ac:dyDescent="0.2">
      <c r="A65" s="101">
        <f>IF(Values_Entered,A64+1,"")</f>
        <v>48</v>
      </c>
      <c r="B65" s="102">
        <f t="shared" si="0"/>
        <v>45992</v>
      </c>
      <c r="C65" s="103">
        <f t="shared" si="6"/>
        <v>232700.22886790891</v>
      </c>
      <c r="D65" s="103">
        <f t="shared" si="1"/>
        <v>1244.5294817906613</v>
      </c>
      <c r="E65" s="104">
        <f t="shared" si="2"/>
        <v>0</v>
      </c>
      <c r="F65" s="103">
        <f t="shared" si="3"/>
        <v>1244.5294817906613</v>
      </c>
      <c r="G65" s="103">
        <f t="shared" si="4"/>
        <v>400.99115214449159</v>
      </c>
      <c r="H65" s="103">
        <f t="shared" si="7"/>
        <v>843.5383296461697</v>
      </c>
      <c r="I65" s="103">
        <f t="shared" si="5"/>
        <v>232299.23771576441</v>
      </c>
      <c r="J65" s="103">
        <f>SUM($H$18:$H65)</f>
        <v>42036.652841716226</v>
      </c>
    </row>
    <row r="66" spans="1:10" x14ac:dyDescent="0.2">
      <c r="A66" s="101">
        <f>IF(Values_Entered,A65+1,"")</f>
        <v>49</v>
      </c>
      <c r="B66" s="102">
        <f t="shared" si="0"/>
        <v>46023</v>
      </c>
      <c r="C66" s="103">
        <f t="shared" si="6"/>
        <v>232299.23771576441</v>
      </c>
      <c r="D66" s="103">
        <f t="shared" si="1"/>
        <v>1244.5294817906613</v>
      </c>
      <c r="E66" s="104">
        <f t="shared" si="2"/>
        <v>0</v>
      </c>
      <c r="F66" s="103">
        <f t="shared" si="3"/>
        <v>1244.5294817906613</v>
      </c>
      <c r="G66" s="103">
        <f t="shared" si="4"/>
        <v>402.44474507101529</v>
      </c>
      <c r="H66" s="103">
        <f t="shared" si="7"/>
        <v>842.084736719646</v>
      </c>
      <c r="I66" s="103">
        <f t="shared" si="5"/>
        <v>231896.79297069338</v>
      </c>
      <c r="J66" s="103">
        <f>SUM($H$18:$H66)</f>
        <v>42878.737578435874</v>
      </c>
    </row>
    <row r="67" spans="1:10" x14ac:dyDescent="0.2">
      <c r="A67" s="101">
        <f>IF(Values_Entered,A66+1,"")</f>
        <v>50</v>
      </c>
      <c r="B67" s="102">
        <f t="shared" si="0"/>
        <v>46054</v>
      </c>
      <c r="C67" s="103">
        <f t="shared" si="6"/>
        <v>231896.79297069338</v>
      </c>
      <c r="D67" s="103">
        <f t="shared" si="1"/>
        <v>1244.5294817906613</v>
      </c>
      <c r="E67" s="104">
        <f t="shared" si="2"/>
        <v>0</v>
      </c>
      <c r="F67" s="103">
        <f t="shared" si="3"/>
        <v>1244.5294817906613</v>
      </c>
      <c r="G67" s="103">
        <f t="shared" si="4"/>
        <v>403.90360727189784</v>
      </c>
      <c r="H67" s="103">
        <f t="shared" si="7"/>
        <v>840.62587451876345</v>
      </c>
      <c r="I67" s="103">
        <f t="shared" si="5"/>
        <v>231492.88936342148</v>
      </c>
      <c r="J67" s="103">
        <f>SUM($H$18:$H67)</f>
        <v>43719.36345295464</v>
      </c>
    </row>
    <row r="68" spans="1:10" x14ac:dyDescent="0.2">
      <c r="A68" s="101">
        <f>IF(Values_Entered,A67+1,"")</f>
        <v>51</v>
      </c>
      <c r="B68" s="102">
        <f t="shared" si="0"/>
        <v>46082</v>
      </c>
      <c r="C68" s="103">
        <f t="shared" si="6"/>
        <v>231492.88936342148</v>
      </c>
      <c r="D68" s="103">
        <f t="shared" si="1"/>
        <v>1244.5294817906613</v>
      </c>
      <c r="E68" s="104">
        <f t="shared" si="2"/>
        <v>0</v>
      </c>
      <c r="F68" s="103">
        <f t="shared" si="3"/>
        <v>1244.5294817906613</v>
      </c>
      <c r="G68" s="103">
        <f t="shared" si="4"/>
        <v>405.36775784825852</v>
      </c>
      <c r="H68" s="103">
        <f t="shared" si="7"/>
        <v>839.16172394240277</v>
      </c>
      <c r="I68" s="103">
        <f t="shared" si="5"/>
        <v>231087.52160557322</v>
      </c>
      <c r="J68" s="103">
        <f>SUM($H$18:$H68)</f>
        <v>44558.525176897041</v>
      </c>
    </row>
    <row r="69" spans="1:10" x14ac:dyDescent="0.2">
      <c r="A69" s="101">
        <f>IF(Values_Entered,A68+1,"")</f>
        <v>52</v>
      </c>
      <c r="B69" s="102">
        <f t="shared" si="0"/>
        <v>46113</v>
      </c>
      <c r="C69" s="103">
        <f t="shared" si="6"/>
        <v>231087.52160557322</v>
      </c>
      <c r="D69" s="103">
        <f t="shared" si="1"/>
        <v>1244.5294817906613</v>
      </c>
      <c r="E69" s="104">
        <f t="shared" si="2"/>
        <v>0</v>
      </c>
      <c r="F69" s="103">
        <f t="shared" si="3"/>
        <v>1244.5294817906613</v>
      </c>
      <c r="G69" s="103">
        <f t="shared" si="4"/>
        <v>406.83721597045837</v>
      </c>
      <c r="H69" s="103">
        <f t="shared" si="7"/>
        <v>837.69226582020292</v>
      </c>
      <c r="I69" s="103">
        <f t="shared" si="5"/>
        <v>230680.68438960277</v>
      </c>
      <c r="J69" s="103">
        <f>SUM($H$18:$H69)</f>
        <v>45396.217442717243</v>
      </c>
    </row>
    <row r="70" spans="1:10" x14ac:dyDescent="0.2">
      <c r="A70" s="101">
        <f>IF(Values_Entered,A69+1,"")</f>
        <v>53</v>
      </c>
      <c r="B70" s="102">
        <f t="shared" si="0"/>
        <v>46143</v>
      </c>
      <c r="C70" s="103">
        <f t="shared" si="6"/>
        <v>230680.68438960277</v>
      </c>
      <c r="D70" s="103">
        <f t="shared" si="1"/>
        <v>1244.5294817906613</v>
      </c>
      <c r="E70" s="104">
        <f t="shared" si="2"/>
        <v>0</v>
      </c>
      <c r="F70" s="103">
        <f t="shared" si="3"/>
        <v>1244.5294817906613</v>
      </c>
      <c r="G70" s="103">
        <f t="shared" si="4"/>
        <v>408.31200087835134</v>
      </c>
      <c r="H70" s="103">
        <f t="shared" si="7"/>
        <v>836.21748091230995</v>
      </c>
      <c r="I70" s="103">
        <f t="shared" si="5"/>
        <v>230272.37238872441</v>
      </c>
      <c r="J70" s="103">
        <f>SUM($H$18:$H70)</f>
        <v>46232.434923629553</v>
      </c>
    </row>
    <row r="71" spans="1:10" x14ac:dyDescent="0.2">
      <c r="A71" s="101">
        <f>IF(Values_Entered,A70+1,"")</f>
        <v>54</v>
      </c>
      <c r="B71" s="102">
        <f t="shared" si="0"/>
        <v>46174</v>
      </c>
      <c r="C71" s="103">
        <f t="shared" si="6"/>
        <v>230272.37238872441</v>
      </c>
      <c r="D71" s="103">
        <f t="shared" si="1"/>
        <v>1244.5294817906613</v>
      </c>
      <c r="E71" s="104">
        <f t="shared" si="2"/>
        <v>0</v>
      </c>
      <c r="F71" s="103">
        <f t="shared" si="3"/>
        <v>1244.5294817906613</v>
      </c>
      <c r="G71" s="103">
        <f t="shared" si="4"/>
        <v>409.7921318815354</v>
      </c>
      <c r="H71" s="103">
        <f t="shared" si="7"/>
        <v>834.7373499091259</v>
      </c>
      <c r="I71" s="103">
        <f t="shared" si="5"/>
        <v>229862.58025684286</v>
      </c>
      <c r="J71" s="103">
        <f>SUM($H$18:$H71)</f>
        <v>47067.172273538679</v>
      </c>
    </row>
    <row r="72" spans="1:10" x14ac:dyDescent="0.2">
      <c r="A72" s="101">
        <f>IF(Values_Entered,A71+1,"")</f>
        <v>55</v>
      </c>
      <c r="B72" s="102">
        <f t="shared" si="0"/>
        <v>46204</v>
      </c>
      <c r="C72" s="103">
        <f t="shared" si="6"/>
        <v>229862.58025684286</v>
      </c>
      <c r="D72" s="103">
        <f t="shared" si="1"/>
        <v>1244.5294817906613</v>
      </c>
      <c r="E72" s="104">
        <f t="shared" si="2"/>
        <v>0</v>
      </c>
      <c r="F72" s="103">
        <f t="shared" si="3"/>
        <v>1244.5294817906613</v>
      </c>
      <c r="G72" s="103">
        <f t="shared" si="4"/>
        <v>411.27762835960596</v>
      </c>
      <c r="H72" s="103">
        <f t="shared" si="7"/>
        <v>833.25185343105534</v>
      </c>
      <c r="I72" s="103">
        <f t="shared" si="5"/>
        <v>229451.30262848324</v>
      </c>
      <c r="J72" s="103">
        <f>SUM($H$18:$H72)</f>
        <v>47900.424126969738</v>
      </c>
    </row>
    <row r="73" spans="1:10" x14ac:dyDescent="0.2">
      <c r="A73" s="101">
        <f>IF(Values_Entered,A72+1,"")</f>
        <v>56</v>
      </c>
      <c r="B73" s="102">
        <f t="shared" si="0"/>
        <v>46235</v>
      </c>
      <c r="C73" s="103">
        <f t="shared" si="6"/>
        <v>229451.30262848324</v>
      </c>
      <c r="D73" s="103">
        <f t="shared" si="1"/>
        <v>1244.5294817906613</v>
      </c>
      <c r="E73" s="104">
        <f t="shared" si="2"/>
        <v>0</v>
      </c>
      <c r="F73" s="103">
        <f t="shared" si="3"/>
        <v>1244.5294817906613</v>
      </c>
      <c r="G73" s="103">
        <f t="shared" si="4"/>
        <v>412.76850976240962</v>
      </c>
      <c r="H73" s="103">
        <f t="shared" si="7"/>
        <v>831.76097202825167</v>
      </c>
      <c r="I73" s="103">
        <f t="shared" si="5"/>
        <v>229038.53411872083</v>
      </c>
      <c r="J73" s="103">
        <f>SUM($H$18:$H73)</f>
        <v>48732.185098997987</v>
      </c>
    </row>
    <row r="74" spans="1:10" x14ac:dyDescent="0.2">
      <c r="A74" s="101">
        <f>IF(Values_Entered,A73+1,"")</f>
        <v>57</v>
      </c>
      <c r="B74" s="102">
        <f t="shared" si="0"/>
        <v>46266</v>
      </c>
      <c r="C74" s="103">
        <f t="shared" si="6"/>
        <v>229038.53411872083</v>
      </c>
      <c r="D74" s="103">
        <f t="shared" si="1"/>
        <v>1244.5294817906613</v>
      </c>
      <c r="E74" s="104">
        <f t="shared" si="2"/>
        <v>0</v>
      </c>
      <c r="F74" s="103">
        <f t="shared" si="3"/>
        <v>1244.5294817906613</v>
      </c>
      <c r="G74" s="103">
        <f t="shared" si="4"/>
        <v>414.26479561029839</v>
      </c>
      <c r="H74" s="103">
        <f t="shared" si="7"/>
        <v>830.2646861803629</v>
      </c>
      <c r="I74" s="103">
        <f t="shared" si="5"/>
        <v>228624.26932311052</v>
      </c>
      <c r="J74" s="103">
        <f>SUM($H$18:$H74)</f>
        <v>49562.449785178353</v>
      </c>
    </row>
    <row r="75" spans="1:10" x14ac:dyDescent="0.2">
      <c r="A75" s="101">
        <f>IF(Values_Entered,A74+1,"")</f>
        <v>58</v>
      </c>
      <c r="B75" s="102">
        <f t="shared" si="0"/>
        <v>46296</v>
      </c>
      <c r="C75" s="103">
        <f t="shared" si="6"/>
        <v>228624.26932311052</v>
      </c>
      <c r="D75" s="103">
        <f t="shared" si="1"/>
        <v>1244.5294817906613</v>
      </c>
      <c r="E75" s="104">
        <f t="shared" si="2"/>
        <v>0</v>
      </c>
      <c r="F75" s="103">
        <f t="shared" si="3"/>
        <v>1244.5294817906613</v>
      </c>
      <c r="G75" s="103">
        <f t="shared" si="4"/>
        <v>415.76650549438568</v>
      </c>
      <c r="H75" s="103">
        <f t="shared" si="7"/>
        <v>828.76297629627561</v>
      </c>
      <c r="I75" s="103">
        <f t="shared" si="5"/>
        <v>228208.50281761613</v>
      </c>
      <c r="J75" s="103">
        <f>SUM($H$18:$H75)</f>
        <v>50391.212761474628</v>
      </c>
    </row>
    <row r="76" spans="1:10" x14ac:dyDescent="0.2">
      <c r="A76" s="101">
        <f>IF(Values_Entered,A75+1,"")</f>
        <v>59</v>
      </c>
      <c r="B76" s="102">
        <f t="shared" si="0"/>
        <v>46327</v>
      </c>
      <c r="C76" s="103">
        <f t="shared" si="6"/>
        <v>228208.50281761613</v>
      </c>
      <c r="D76" s="103">
        <f t="shared" si="1"/>
        <v>1244.5294817906613</v>
      </c>
      <c r="E76" s="104">
        <f t="shared" si="2"/>
        <v>0</v>
      </c>
      <c r="F76" s="103">
        <f t="shared" si="3"/>
        <v>1244.5294817906613</v>
      </c>
      <c r="G76" s="103">
        <f t="shared" si="4"/>
        <v>417.27365907680291</v>
      </c>
      <c r="H76" s="103">
        <f t="shared" si="7"/>
        <v>827.25582271385838</v>
      </c>
      <c r="I76" s="103">
        <f t="shared" si="5"/>
        <v>227791.22915853932</v>
      </c>
      <c r="J76" s="103">
        <f>SUM($H$18:$H76)</f>
        <v>51218.468584188486</v>
      </c>
    </row>
    <row r="77" spans="1:10" x14ac:dyDescent="0.2">
      <c r="A77" s="101">
        <f>IF(Values_Entered,A76+1,"")</f>
        <v>60</v>
      </c>
      <c r="B77" s="102">
        <f t="shared" si="0"/>
        <v>46357</v>
      </c>
      <c r="C77" s="103">
        <f t="shared" si="6"/>
        <v>227791.22915853932</v>
      </c>
      <c r="D77" s="103">
        <f t="shared" si="1"/>
        <v>1244.5294817906613</v>
      </c>
      <c r="E77" s="104">
        <f t="shared" si="2"/>
        <v>0</v>
      </c>
      <c r="F77" s="103">
        <f t="shared" si="3"/>
        <v>1244.5294817906613</v>
      </c>
      <c r="G77" s="103">
        <f t="shared" si="4"/>
        <v>418.78627609095633</v>
      </c>
      <c r="H77" s="103">
        <f t="shared" si="7"/>
        <v>825.74320569970496</v>
      </c>
      <c r="I77" s="103">
        <f t="shared" si="5"/>
        <v>227372.44288244838</v>
      </c>
      <c r="J77" s="103">
        <f>SUM($H$18:$H77)</f>
        <v>52044.211789888192</v>
      </c>
    </row>
    <row r="78" spans="1:10" x14ac:dyDescent="0.2">
      <c r="A78" s="101">
        <f>IF(Values_Entered,A77+1,"")</f>
        <v>61</v>
      </c>
      <c r="B78" s="102">
        <f t="shared" si="0"/>
        <v>46388</v>
      </c>
      <c r="C78" s="103">
        <f t="shared" si="6"/>
        <v>227372.44288244838</v>
      </c>
      <c r="D78" s="103">
        <f t="shared" si="1"/>
        <v>1244.5294817906613</v>
      </c>
      <c r="E78" s="104">
        <f t="shared" si="2"/>
        <v>0</v>
      </c>
      <c r="F78" s="103">
        <f t="shared" si="3"/>
        <v>1244.5294817906613</v>
      </c>
      <c r="G78" s="103">
        <f t="shared" si="4"/>
        <v>420.304376341786</v>
      </c>
      <c r="H78" s="103">
        <f t="shared" si="7"/>
        <v>824.2251054488753</v>
      </c>
      <c r="I78" s="103">
        <f t="shared" si="5"/>
        <v>226952.1385061066</v>
      </c>
      <c r="J78" s="103">
        <f>SUM($H$18:$H78)</f>
        <v>52868.436895337065</v>
      </c>
    </row>
    <row r="79" spans="1:10" x14ac:dyDescent="0.2">
      <c r="A79" s="101">
        <f>IF(Values_Entered,A78+1,"")</f>
        <v>62</v>
      </c>
      <c r="B79" s="102">
        <f t="shared" si="0"/>
        <v>46419</v>
      </c>
      <c r="C79" s="103">
        <f t="shared" si="6"/>
        <v>226952.1385061066</v>
      </c>
      <c r="D79" s="103">
        <f t="shared" si="1"/>
        <v>1244.5294817906613</v>
      </c>
      <c r="E79" s="104">
        <f t="shared" si="2"/>
        <v>0</v>
      </c>
      <c r="F79" s="103">
        <f t="shared" si="3"/>
        <v>1244.5294817906613</v>
      </c>
      <c r="G79" s="103">
        <f t="shared" si="4"/>
        <v>421.82797970602485</v>
      </c>
      <c r="H79" s="103">
        <f t="shared" si="7"/>
        <v>822.70150208463645</v>
      </c>
      <c r="I79" s="103">
        <f t="shared" si="5"/>
        <v>226530.31052640057</v>
      </c>
      <c r="J79" s="103">
        <f>SUM($H$18:$H79)</f>
        <v>53691.138397421702</v>
      </c>
    </row>
    <row r="80" spans="1:10" x14ac:dyDescent="0.2">
      <c r="A80" s="101">
        <f>IF(Values_Entered,A79+1,"")</f>
        <v>63</v>
      </c>
      <c r="B80" s="102">
        <f t="shared" si="0"/>
        <v>46447</v>
      </c>
      <c r="C80" s="103">
        <f t="shared" si="6"/>
        <v>226530.31052640057</v>
      </c>
      <c r="D80" s="103">
        <f t="shared" si="1"/>
        <v>1244.5294817906613</v>
      </c>
      <c r="E80" s="104">
        <f t="shared" si="2"/>
        <v>0</v>
      </c>
      <c r="F80" s="103">
        <f t="shared" si="3"/>
        <v>1244.5294817906613</v>
      </c>
      <c r="G80" s="103">
        <f t="shared" si="4"/>
        <v>423.35710613245931</v>
      </c>
      <c r="H80" s="103">
        <f t="shared" si="7"/>
        <v>821.17237565820199</v>
      </c>
      <c r="I80" s="103">
        <f t="shared" si="5"/>
        <v>226106.95342026811</v>
      </c>
      <c r="J80" s="103">
        <f>SUM($H$18:$H80)</f>
        <v>54512.310773079902</v>
      </c>
    </row>
    <row r="81" spans="1:10" x14ac:dyDescent="0.2">
      <c r="A81" s="101">
        <f>IF(Values_Entered,A80+1,"")</f>
        <v>64</v>
      </c>
      <c r="B81" s="102">
        <f t="shared" si="0"/>
        <v>46478</v>
      </c>
      <c r="C81" s="103">
        <f t="shared" si="6"/>
        <v>226106.95342026811</v>
      </c>
      <c r="D81" s="103">
        <f t="shared" si="1"/>
        <v>1244.5294817906613</v>
      </c>
      <c r="E81" s="104">
        <f t="shared" si="2"/>
        <v>0</v>
      </c>
      <c r="F81" s="103">
        <f t="shared" si="3"/>
        <v>1244.5294817906613</v>
      </c>
      <c r="G81" s="103">
        <f t="shared" si="4"/>
        <v>424.89177564218949</v>
      </c>
      <c r="H81" s="103">
        <f t="shared" si="7"/>
        <v>819.63770614847181</v>
      </c>
      <c r="I81" s="103">
        <f t="shared" si="5"/>
        <v>225682.06164462591</v>
      </c>
      <c r="J81" s="103">
        <f>SUM($H$18:$H81)</f>
        <v>55331.948479228377</v>
      </c>
    </row>
    <row r="82" spans="1:10" x14ac:dyDescent="0.2">
      <c r="A82" s="101">
        <f>IF(Values_Entered,A81+1,"")</f>
        <v>65</v>
      </c>
      <c r="B82" s="102">
        <f t="shared" ref="B82:B145" si="8">IF(Pay_Num&lt;&gt;"",DATE(YEAR(Loan_Start),MONTH(Loan_Start)+(Pay_Num)*12/Num_Pmt_Per_Year,DAY(Loan_Start)),"")</f>
        <v>46508</v>
      </c>
      <c r="C82" s="103">
        <f t="shared" si="6"/>
        <v>225682.06164462591</v>
      </c>
      <c r="D82" s="103">
        <f t="shared" ref="D82:D145" si="9">IF(Pay_Num&lt;&gt;"",Scheduled_Monthly_Payment,"")</f>
        <v>1244.5294817906613</v>
      </c>
      <c r="E82" s="104">
        <f t="shared" ref="E82:E145" si="10">IF(AND(Pay_Num&lt;&gt;"",Sched_Pay+Scheduled_Extra_Payments&lt;Beg_Bal),Scheduled_Extra_Payments,IF(AND(Pay_Num&lt;&gt;"",Beg_Bal-Sched_Pay&gt;0),Beg_Bal-Sched_Pay,IF(Pay_Num&lt;&gt;"",0,"")))</f>
        <v>0</v>
      </c>
      <c r="F82" s="103">
        <f t="shared" ref="F82:F145" si="11">IF(AND(Pay_Num&lt;&gt;"",Sched_Pay+Extra_Pay&lt;Beg_Bal),Sched_Pay+Extra_Pay,IF(Pay_Num&lt;&gt;"",Beg_Bal,""))</f>
        <v>1244.5294817906613</v>
      </c>
      <c r="G82" s="103">
        <f t="shared" ref="G82:G145" si="12">IF(Pay_Num&lt;&gt;"",Total_Pay-Int,"")</f>
        <v>426.43200832889238</v>
      </c>
      <c r="H82" s="103">
        <f t="shared" si="7"/>
        <v>818.09747346176891</v>
      </c>
      <c r="I82" s="103">
        <f t="shared" ref="I82:I145" si="13">IF(AND(Pay_Num&lt;&gt;"",Sched_Pay+Extra_Pay&lt;Beg_Bal),Beg_Bal-Princ,IF(Pay_Num&lt;&gt;"",0,""))</f>
        <v>225255.629636297</v>
      </c>
      <c r="J82" s="103">
        <f>SUM($H$18:$H82)</f>
        <v>56150.045952690147</v>
      </c>
    </row>
    <row r="83" spans="1:10" x14ac:dyDescent="0.2">
      <c r="A83" s="101">
        <f>IF(Values_Entered,A82+1,"")</f>
        <v>66</v>
      </c>
      <c r="B83" s="102">
        <f t="shared" si="8"/>
        <v>46539</v>
      </c>
      <c r="C83" s="103">
        <f t="shared" ref="C83:C146" si="14">IF(Pay_Num&lt;&gt;"",I82,"")</f>
        <v>225255.629636297</v>
      </c>
      <c r="D83" s="103">
        <f t="shared" si="9"/>
        <v>1244.5294817906613</v>
      </c>
      <c r="E83" s="104">
        <f t="shared" si="10"/>
        <v>0</v>
      </c>
      <c r="F83" s="103">
        <f t="shared" si="11"/>
        <v>1244.5294817906613</v>
      </c>
      <c r="G83" s="103">
        <f t="shared" si="12"/>
        <v>427.97782435908471</v>
      </c>
      <c r="H83" s="103">
        <f t="shared" ref="H83:H146" si="15">IF(Pay_Num&lt;&gt;"",Beg_Bal*Interest_Rate/Num_Pmt_Per_Year,"")</f>
        <v>816.55165743157659</v>
      </c>
      <c r="I83" s="103">
        <f t="shared" si="13"/>
        <v>224827.65181193792</v>
      </c>
      <c r="J83" s="103">
        <f>SUM($H$18:$H83)</f>
        <v>56966.597610121724</v>
      </c>
    </row>
    <row r="84" spans="1:10" x14ac:dyDescent="0.2">
      <c r="A84" s="101">
        <f>IF(Values_Entered,A83+1,"")</f>
        <v>67</v>
      </c>
      <c r="B84" s="102">
        <f t="shared" si="8"/>
        <v>46569</v>
      </c>
      <c r="C84" s="103">
        <f t="shared" si="14"/>
        <v>224827.65181193792</v>
      </c>
      <c r="D84" s="103">
        <f t="shared" si="9"/>
        <v>1244.5294817906613</v>
      </c>
      <c r="E84" s="104">
        <f t="shared" si="10"/>
        <v>0</v>
      </c>
      <c r="F84" s="103">
        <f t="shared" si="11"/>
        <v>1244.5294817906613</v>
      </c>
      <c r="G84" s="103">
        <f t="shared" si="12"/>
        <v>429.52924397238644</v>
      </c>
      <c r="H84" s="103">
        <f t="shared" si="15"/>
        <v>815.00023781827485</v>
      </c>
      <c r="I84" s="103">
        <f t="shared" si="13"/>
        <v>224398.12256796553</v>
      </c>
      <c r="J84" s="103">
        <f>SUM($H$18:$H84)</f>
        <v>57781.59784794</v>
      </c>
    </row>
    <row r="85" spans="1:10" x14ac:dyDescent="0.2">
      <c r="A85" s="101">
        <f>IF(Values_Entered,A84+1,"")</f>
        <v>68</v>
      </c>
      <c r="B85" s="102">
        <f t="shared" si="8"/>
        <v>46600</v>
      </c>
      <c r="C85" s="103">
        <f t="shared" si="14"/>
        <v>224398.12256796553</v>
      </c>
      <c r="D85" s="103">
        <f t="shared" si="9"/>
        <v>1244.5294817906613</v>
      </c>
      <c r="E85" s="104">
        <f t="shared" si="10"/>
        <v>0</v>
      </c>
      <c r="F85" s="103">
        <f t="shared" si="11"/>
        <v>1244.5294817906613</v>
      </c>
      <c r="G85" s="103">
        <f t="shared" si="12"/>
        <v>431.08628748178637</v>
      </c>
      <c r="H85" s="103">
        <f t="shared" si="15"/>
        <v>813.44319430887492</v>
      </c>
      <c r="I85" s="103">
        <f t="shared" si="13"/>
        <v>223967.03628048374</v>
      </c>
      <c r="J85" s="103">
        <f>SUM($H$18:$H85)</f>
        <v>58595.041042248879</v>
      </c>
    </row>
    <row r="86" spans="1:10" x14ac:dyDescent="0.2">
      <c r="A86" s="101">
        <f>IF(Values_Entered,A85+1,"")</f>
        <v>69</v>
      </c>
      <c r="B86" s="102">
        <f t="shared" si="8"/>
        <v>46631</v>
      </c>
      <c r="C86" s="103">
        <f t="shared" si="14"/>
        <v>223967.03628048374</v>
      </c>
      <c r="D86" s="103">
        <f t="shared" si="9"/>
        <v>1244.5294817906613</v>
      </c>
      <c r="E86" s="104">
        <f t="shared" si="10"/>
        <v>0</v>
      </c>
      <c r="F86" s="103">
        <f t="shared" si="11"/>
        <v>1244.5294817906613</v>
      </c>
      <c r="G86" s="103">
        <f t="shared" si="12"/>
        <v>432.64897527390781</v>
      </c>
      <c r="H86" s="103">
        <f t="shared" si="15"/>
        <v>811.88050651675348</v>
      </c>
      <c r="I86" s="103">
        <f t="shared" si="13"/>
        <v>223534.38730520982</v>
      </c>
      <c r="J86" s="103">
        <f>SUM($H$18:$H86)</f>
        <v>59406.921548765633</v>
      </c>
    </row>
    <row r="87" spans="1:10" x14ac:dyDescent="0.2">
      <c r="A87" s="101">
        <f>IF(Values_Entered,A86+1,"")</f>
        <v>70</v>
      </c>
      <c r="B87" s="102">
        <f t="shared" si="8"/>
        <v>46661</v>
      </c>
      <c r="C87" s="103">
        <f t="shared" si="14"/>
        <v>223534.38730520982</v>
      </c>
      <c r="D87" s="103">
        <f t="shared" si="9"/>
        <v>1244.5294817906613</v>
      </c>
      <c r="E87" s="104">
        <f t="shared" si="10"/>
        <v>0</v>
      </c>
      <c r="F87" s="103">
        <f t="shared" si="11"/>
        <v>1244.5294817906613</v>
      </c>
      <c r="G87" s="103">
        <f t="shared" si="12"/>
        <v>434.21732780927573</v>
      </c>
      <c r="H87" s="103">
        <f t="shared" si="15"/>
        <v>810.31215398138556</v>
      </c>
      <c r="I87" s="103">
        <f t="shared" si="13"/>
        <v>223100.16997740054</v>
      </c>
      <c r="J87" s="103">
        <f>SUM($H$18:$H87)</f>
        <v>60217.23370274702</v>
      </c>
    </row>
    <row r="88" spans="1:10" x14ac:dyDescent="0.2">
      <c r="A88" s="101">
        <f>IF(Values_Entered,A87+1,"")</f>
        <v>71</v>
      </c>
      <c r="B88" s="102">
        <f t="shared" si="8"/>
        <v>46692</v>
      </c>
      <c r="C88" s="103">
        <f t="shared" si="14"/>
        <v>223100.16997740054</v>
      </c>
      <c r="D88" s="103">
        <f t="shared" si="9"/>
        <v>1244.5294817906613</v>
      </c>
      <c r="E88" s="104">
        <f t="shared" si="10"/>
        <v>0</v>
      </c>
      <c r="F88" s="103">
        <f t="shared" si="11"/>
        <v>1244.5294817906613</v>
      </c>
      <c r="G88" s="103">
        <f t="shared" si="12"/>
        <v>435.79136562258441</v>
      </c>
      <c r="H88" s="103">
        <f t="shared" si="15"/>
        <v>808.73811616807689</v>
      </c>
      <c r="I88" s="103">
        <f t="shared" si="13"/>
        <v>222664.37861177797</v>
      </c>
      <c r="J88" s="103">
        <f>SUM($H$18:$H88)</f>
        <v>61025.971818915095</v>
      </c>
    </row>
    <row r="89" spans="1:10" x14ac:dyDescent="0.2">
      <c r="A89" s="101">
        <f>IF(Values_Entered,A88+1,"")</f>
        <v>72</v>
      </c>
      <c r="B89" s="102">
        <f t="shared" si="8"/>
        <v>46722</v>
      </c>
      <c r="C89" s="103">
        <f t="shared" si="14"/>
        <v>222664.37861177797</v>
      </c>
      <c r="D89" s="103">
        <f t="shared" si="9"/>
        <v>1244.5294817906613</v>
      </c>
      <c r="E89" s="104">
        <f t="shared" si="10"/>
        <v>0</v>
      </c>
      <c r="F89" s="103">
        <f t="shared" si="11"/>
        <v>1244.5294817906613</v>
      </c>
      <c r="G89" s="103">
        <f t="shared" si="12"/>
        <v>437.37110932296616</v>
      </c>
      <c r="H89" s="103">
        <f t="shared" si="15"/>
        <v>807.15837246769513</v>
      </c>
      <c r="I89" s="103">
        <f t="shared" si="13"/>
        <v>222227.007502455</v>
      </c>
      <c r="J89" s="103">
        <f>SUM($H$18:$H89)</f>
        <v>61833.130191382792</v>
      </c>
    </row>
    <row r="90" spans="1:10" x14ac:dyDescent="0.2">
      <c r="A90" s="101">
        <f>IF(Values_Entered,A89+1,"")</f>
        <v>73</v>
      </c>
      <c r="B90" s="102">
        <f t="shared" si="8"/>
        <v>46753</v>
      </c>
      <c r="C90" s="103">
        <f t="shared" si="14"/>
        <v>222227.007502455</v>
      </c>
      <c r="D90" s="103">
        <f t="shared" si="9"/>
        <v>1244.5294817906613</v>
      </c>
      <c r="E90" s="104">
        <f t="shared" si="10"/>
        <v>0</v>
      </c>
      <c r="F90" s="103">
        <f t="shared" si="11"/>
        <v>1244.5294817906613</v>
      </c>
      <c r="G90" s="103">
        <f t="shared" si="12"/>
        <v>438.95657959426194</v>
      </c>
      <c r="H90" s="103">
        <f t="shared" si="15"/>
        <v>805.57290219639935</v>
      </c>
      <c r="I90" s="103">
        <f t="shared" si="13"/>
        <v>221788.05092286074</v>
      </c>
      <c r="J90" s="103">
        <f>SUM($H$18:$H90)</f>
        <v>62638.703093579192</v>
      </c>
    </row>
    <row r="91" spans="1:10" x14ac:dyDescent="0.2">
      <c r="A91" s="101">
        <f>IF(Values_Entered,A90+1,"")</f>
        <v>74</v>
      </c>
      <c r="B91" s="102">
        <f t="shared" si="8"/>
        <v>46784</v>
      </c>
      <c r="C91" s="103">
        <f t="shared" si="14"/>
        <v>221788.05092286074</v>
      </c>
      <c r="D91" s="103">
        <f t="shared" si="9"/>
        <v>1244.5294817906613</v>
      </c>
      <c r="E91" s="104">
        <f t="shared" si="10"/>
        <v>0</v>
      </c>
      <c r="F91" s="103">
        <f t="shared" si="11"/>
        <v>1244.5294817906613</v>
      </c>
      <c r="G91" s="103">
        <f t="shared" si="12"/>
        <v>440.5477971952912</v>
      </c>
      <c r="H91" s="103">
        <f t="shared" si="15"/>
        <v>803.9816845953701</v>
      </c>
      <c r="I91" s="103">
        <f t="shared" si="13"/>
        <v>221347.50312566545</v>
      </c>
      <c r="J91" s="103">
        <f>SUM($H$18:$H91)</f>
        <v>63442.68477817456</v>
      </c>
    </row>
    <row r="92" spans="1:10" x14ac:dyDescent="0.2">
      <c r="A92" s="101">
        <f>IF(Values_Entered,A91+1,"")</f>
        <v>75</v>
      </c>
      <c r="B92" s="102">
        <f t="shared" si="8"/>
        <v>46813</v>
      </c>
      <c r="C92" s="103">
        <f t="shared" si="14"/>
        <v>221347.50312566545</v>
      </c>
      <c r="D92" s="103">
        <f t="shared" si="9"/>
        <v>1244.5294817906613</v>
      </c>
      <c r="E92" s="104">
        <f t="shared" si="10"/>
        <v>0</v>
      </c>
      <c r="F92" s="103">
        <f t="shared" si="11"/>
        <v>1244.5294817906613</v>
      </c>
      <c r="G92" s="103">
        <f t="shared" si="12"/>
        <v>442.14478296012408</v>
      </c>
      <c r="H92" s="103">
        <f t="shared" si="15"/>
        <v>802.38469883053722</v>
      </c>
      <c r="I92" s="103">
        <f t="shared" si="13"/>
        <v>220905.35834270532</v>
      </c>
      <c r="J92" s="103">
        <f>SUM($H$18:$H92)</f>
        <v>64245.069477005098</v>
      </c>
    </row>
    <row r="93" spans="1:10" x14ac:dyDescent="0.2">
      <c r="A93" s="101">
        <f>IF(Values_Entered,A92+1,"")</f>
        <v>76</v>
      </c>
      <c r="B93" s="102">
        <f t="shared" si="8"/>
        <v>46844</v>
      </c>
      <c r="C93" s="103">
        <f t="shared" si="14"/>
        <v>220905.35834270532</v>
      </c>
      <c r="D93" s="103">
        <f t="shared" si="9"/>
        <v>1244.5294817906613</v>
      </c>
      <c r="E93" s="104">
        <f t="shared" si="10"/>
        <v>0</v>
      </c>
      <c r="F93" s="103">
        <f t="shared" si="11"/>
        <v>1244.5294817906613</v>
      </c>
      <c r="G93" s="103">
        <f t="shared" si="12"/>
        <v>443.74755779835448</v>
      </c>
      <c r="H93" s="103">
        <f t="shared" si="15"/>
        <v>800.78192399230682</v>
      </c>
      <c r="I93" s="103">
        <f t="shared" si="13"/>
        <v>220461.61078490698</v>
      </c>
      <c r="J93" s="103">
        <f>SUM($H$18:$H93)</f>
        <v>65045.851400997402</v>
      </c>
    </row>
    <row r="94" spans="1:10" x14ac:dyDescent="0.2">
      <c r="A94" s="101">
        <f>IF(Values_Entered,A93+1,"")</f>
        <v>77</v>
      </c>
      <c r="B94" s="102">
        <f t="shared" si="8"/>
        <v>46874</v>
      </c>
      <c r="C94" s="103">
        <f t="shared" si="14"/>
        <v>220461.61078490698</v>
      </c>
      <c r="D94" s="103">
        <f t="shared" si="9"/>
        <v>1244.5294817906613</v>
      </c>
      <c r="E94" s="104">
        <f t="shared" si="10"/>
        <v>0</v>
      </c>
      <c r="F94" s="103">
        <f t="shared" si="11"/>
        <v>1244.5294817906613</v>
      </c>
      <c r="G94" s="103">
        <f t="shared" si="12"/>
        <v>445.35614269537359</v>
      </c>
      <c r="H94" s="103">
        <f t="shared" si="15"/>
        <v>799.1733390952877</v>
      </c>
      <c r="I94" s="103">
        <f t="shared" si="13"/>
        <v>220016.2546422116</v>
      </c>
      <c r="J94" s="103">
        <f>SUM($H$18:$H94)</f>
        <v>65845.024740092689</v>
      </c>
    </row>
    <row r="95" spans="1:10" x14ac:dyDescent="0.2">
      <c r="A95" s="101">
        <f>IF(Values_Entered,A94+1,"")</f>
        <v>78</v>
      </c>
      <c r="B95" s="102">
        <f t="shared" si="8"/>
        <v>46905</v>
      </c>
      <c r="C95" s="103">
        <f t="shared" si="14"/>
        <v>220016.2546422116</v>
      </c>
      <c r="D95" s="103">
        <f t="shared" si="9"/>
        <v>1244.5294817906613</v>
      </c>
      <c r="E95" s="104">
        <f t="shared" si="10"/>
        <v>0</v>
      </c>
      <c r="F95" s="103">
        <f t="shared" si="11"/>
        <v>1244.5294817906613</v>
      </c>
      <c r="G95" s="103">
        <f t="shared" si="12"/>
        <v>446.97055871264433</v>
      </c>
      <c r="H95" s="103">
        <f t="shared" si="15"/>
        <v>797.55892307801696</v>
      </c>
      <c r="I95" s="103">
        <f t="shared" si="13"/>
        <v>219569.28408349896</v>
      </c>
      <c r="J95" s="103">
        <f>SUM($H$18:$H95)</f>
        <v>66642.583663170706</v>
      </c>
    </row>
    <row r="96" spans="1:10" x14ac:dyDescent="0.2">
      <c r="A96" s="101">
        <f>IF(Values_Entered,A95+1,"")</f>
        <v>79</v>
      </c>
      <c r="B96" s="102">
        <f t="shared" si="8"/>
        <v>46935</v>
      </c>
      <c r="C96" s="103">
        <f t="shared" si="14"/>
        <v>219569.28408349896</v>
      </c>
      <c r="D96" s="103">
        <f t="shared" si="9"/>
        <v>1244.5294817906613</v>
      </c>
      <c r="E96" s="104">
        <f t="shared" si="10"/>
        <v>0</v>
      </c>
      <c r="F96" s="103">
        <f t="shared" si="11"/>
        <v>1244.5294817906613</v>
      </c>
      <c r="G96" s="103">
        <f t="shared" si="12"/>
        <v>448.59082698797761</v>
      </c>
      <c r="H96" s="103">
        <f t="shared" si="15"/>
        <v>795.93865480268369</v>
      </c>
      <c r="I96" s="103">
        <f t="shared" si="13"/>
        <v>219120.69325651097</v>
      </c>
      <c r="J96" s="103">
        <f>SUM($H$18:$H96)</f>
        <v>67438.522317973388</v>
      </c>
    </row>
    <row r="97" spans="1:10" x14ac:dyDescent="0.2">
      <c r="A97" s="101">
        <f>IF(Values_Entered,A96+1,"")</f>
        <v>80</v>
      </c>
      <c r="B97" s="102">
        <f t="shared" si="8"/>
        <v>46966</v>
      </c>
      <c r="C97" s="103">
        <f t="shared" si="14"/>
        <v>219120.69325651097</v>
      </c>
      <c r="D97" s="103">
        <f t="shared" si="9"/>
        <v>1244.5294817906613</v>
      </c>
      <c r="E97" s="104">
        <f t="shared" si="10"/>
        <v>0</v>
      </c>
      <c r="F97" s="103">
        <f t="shared" si="11"/>
        <v>1244.5294817906613</v>
      </c>
      <c r="G97" s="103">
        <f t="shared" si="12"/>
        <v>450.21696873580902</v>
      </c>
      <c r="H97" s="103">
        <f t="shared" si="15"/>
        <v>794.31251305485227</v>
      </c>
      <c r="I97" s="103">
        <f t="shared" si="13"/>
        <v>218670.47628777518</v>
      </c>
      <c r="J97" s="103">
        <f>SUM($H$18:$H97)</f>
        <v>68232.834831028245</v>
      </c>
    </row>
    <row r="98" spans="1:10" x14ac:dyDescent="0.2">
      <c r="A98" s="101">
        <f>IF(Values_Entered,A97+1,"")</f>
        <v>81</v>
      </c>
      <c r="B98" s="102">
        <f t="shared" si="8"/>
        <v>46997</v>
      </c>
      <c r="C98" s="103">
        <f t="shared" si="14"/>
        <v>218670.47628777518</v>
      </c>
      <c r="D98" s="103">
        <f t="shared" si="9"/>
        <v>1244.5294817906613</v>
      </c>
      <c r="E98" s="104">
        <f t="shared" si="10"/>
        <v>0</v>
      </c>
      <c r="F98" s="103">
        <f t="shared" si="11"/>
        <v>1244.5294817906613</v>
      </c>
      <c r="G98" s="103">
        <f t="shared" si="12"/>
        <v>451.84900524747638</v>
      </c>
      <c r="H98" s="103">
        <f t="shared" si="15"/>
        <v>792.68047654318491</v>
      </c>
      <c r="I98" s="103">
        <f t="shared" si="13"/>
        <v>218218.62728252771</v>
      </c>
      <c r="J98" s="103">
        <f>SUM($H$18:$H98)</f>
        <v>69025.515307571433</v>
      </c>
    </row>
    <row r="99" spans="1:10" x14ac:dyDescent="0.2">
      <c r="A99" s="101">
        <f>IF(Values_Entered,A98+1,"")</f>
        <v>82</v>
      </c>
      <c r="B99" s="102">
        <f t="shared" si="8"/>
        <v>47027</v>
      </c>
      <c r="C99" s="103">
        <f t="shared" si="14"/>
        <v>218218.62728252771</v>
      </c>
      <c r="D99" s="103">
        <f t="shared" si="9"/>
        <v>1244.5294817906613</v>
      </c>
      <c r="E99" s="104">
        <f t="shared" si="10"/>
        <v>0</v>
      </c>
      <c r="F99" s="103">
        <f t="shared" si="11"/>
        <v>1244.5294817906613</v>
      </c>
      <c r="G99" s="103">
        <f t="shared" si="12"/>
        <v>453.48695789149838</v>
      </c>
      <c r="H99" s="103">
        <f t="shared" si="15"/>
        <v>791.04252389916292</v>
      </c>
      <c r="I99" s="103">
        <f t="shared" si="13"/>
        <v>217765.14032463622</v>
      </c>
      <c r="J99" s="103">
        <f>SUM($H$18:$H99)</f>
        <v>69816.557831470593</v>
      </c>
    </row>
    <row r="100" spans="1:10" x14ac:dyDescent="0.2">
      <c r="A100" s="101">
        <f>IF(Values_Entered,A99+1,"")</f>
        <v>83</v>
      </c>
      <c r="B100" s="102">
        <f t="shared" si="8"/>
        <v>47058</v>
      </c>
      <c r="C100" s="103">
        <f t="shared" si="14"/>
        <v>217765.14032463622</v>
      </c>
      <c r="D100" s="103">
        <f t="shared" si="9"/>
        <v>1244.5294817906613</v>
      </c>
      <c r="E100" s="104">
        <f t="shared" si="10"/>
        <v>0</v>
      </c>
      <c r="F100" s="103">
        <f t="shared" si="11"/>
        <v>1244.5294817906613</v>
      </c>
      <c r="G100" s="103">
        <f t="shared" si="12"/>
        <v>455.13084811385511</v>
      </c>
      <c r="H100" s="103">
        <f t="shared" si="15"/>
        <v>789.39863367680618</v>
      </c>
      <c r="I100" s="103">
        <f t="shared" si="13"/>
        <v>217310.00947652236</v>
      </c>
      <c r="J100" s="103">
        <f>SUM($H$18:$H100)</f>
        <v>70605.956465147392</v>
      </c>
    </row>
    <row r="101" spans="1:10" x14ac:dyDescent="0.2">
      <c r="A101" s="101">
        <f>IF(Values_Entered,A100+1,"")</f>
        <v>84</v>
      </c>
      <c r="B101" s="102">
        <f t="shared" si="8"/>
        <v>47088</v>
      </c>
      <c r="C101" s="103">
        <f t="shared" si="14"/>
        <v>217310.00947652236</v>
      </c>
      <c r="D101" s="103">
        <f t="shared" si="9"/>
        <v>1244.5294817906613</v>
      </c>
      <c r="E101" s="104">
        <f t="shared" si="10"/>
        <v>0</v>
      </c>
      <c r="F101" s="103">
        <f t="shared" si="11"/>
        <v>1244.5294817906613</v>
      </c>
      <c r="G101" s="103">
        <f t="shared" si="12"/>
        <v>456.78069743826779</v>
      </c>
      <c r="H101" s="103">
        <f t="shared" si="15"/>
        <v>787.7487843523935</v>
      </c>
      <c r="I101" s="103">
        <f t="shared" si="13"/>
        <v>216853.22877908411</v>
      </c>
      <c r="J101" s="103">
        <f>SUM($H$18:$H101)</f>
        <v>71393.705249499792</v>
      </c>
    </row>
    <row r="102" spans="1:10" x14ac:dyDescent="0.2">
      <c r="A102" s="101">
        <f>IF(Values_Entered,A101+1,"")</f>
        <v>85</v>
      </c>
      <c r="B102" s="102">
        <f t="shared" si="8"/>
        <v>47119</v>
      </c>
      <c r="C102" s="103">
        <f t="shared" si="14"/>
        <v>216853.22877908411</v>
      </c>
      <c r="D102" s="103">
        <f t="shared" si="9"/>
        <v>1244.5294817906613</v>
      </c>
      <c r="E102" s="104">
        <f t="shared" si="10"/>
        <v>0</v>
      </c>
      <c r="F102" s="103">
        <f t="shared" si="11"/>
        <v>1244.5294817906613</v>
      </c>
      <c r="G102" s="103">
        <f t="shared" si="12"/>
        <v>458.43652746648138</v>
      </c>
      <c r="H102" s="103">
        <f t="shared" si="15"/>
        <v>786.09295432417991</v>
      </c>
      <c r="I102" s="103">
        <f t="shared" si="13"/>
        <v>216394.79225161762</v>
      </c>
      <c r="J102" s="103">
        <f>SUM($H$18:$H102)</f>
        <v>72179.798203823972</v>
      </c>
    </row>
    <row r="103" spans="1:10" x14ac:dyDescent="0.2">
      <c r="A103" s="101">
        <f>IF(Values_Entered,A102+1,"")</f>
        <v>86</v>
      </c>
      <c r="B103" s="102">
        <f t="shared" si="8"/>
        <v>47150</v>
      </c>
      <c r="C103" s="103">
        <f t="shared" si="14"/>
        <v>216394.79225161762</v>
      </c>
      <c r="D103" s="103">
        <f t="shared" si="9"/>
        <v>1244.5294817906613</v>
      </c>
      <c r="E103" s="104">
        <f t="shared" si="10"/>
        <v>0</v>
      </c>
      <c r="F103" s="103">
        <f t="shared" si="11"/>
        <v>1244.5294817906613</v>
      </c>
      <c r="G103" s="103">
        <f t="shared" si="12"/>
        <v>460.09835987854751</v>
      </c>
      <c r="H103" s="103">
        <f t="shared" si="15"/>
        <v>784.43112191211378</v>
      </c>
      <c r="I103" s="103">
        <f t="shared" si="13"/>
        <v>215934.69389173907</v>
      </c>
      <c r="J103" s="103">
        <f>SUM($H$18:$H103)</f>
        <v>72964.229325736087</v>
      </c>
    </row>
    <row r="104" spans="1:10" x14ac:dyDescent="0.2">
      <c r="A104" s="101">
        <f>IF(Values_Entered,A103+1,"")</f>
        <v>87</v>
      </c>
      <c r="B104" s="102">
        <f t="shared" si="8"/>
        <v>47178</v>
      </c>
      <c r="C104" s="103">
        <f t="shared" si="14"/>
        <v>215934.69389173907</v>
      </c>
      <c r="D104" s="103">
        <f t="shared" si="9"/>
        <v>1244.5294817906613</v>
      </c>
      <c r="E104" s="104">
        <f t="shared" si="10"/>
        <v>0</v>
      </c>
      <c r="F104" s="103">
        <f t="shared" si="11"/>
        <v>1244.5294817906613</v>
      </c>
      <c r="G104" s="103">
        <f t="shared" si="12"/>
        <v>461.76621643310716</v>
      </c>
      <c r="H104" s="103">
        <f t="shared" si="15"/>
        <v>782.76326535755413</v>
      </c>
      <c r="I104" s="103">
        <f t="shared" si="13"/>
        <v>215472.92767530595</v>
      </c>
      <c r="J104" s="103">
        <f>SUM($H$18:$H104)</f>
        <v>73746.992591093644</v>
      </c>
    </row>
    <row r="105" spans="1:10" x14ac:dyDescent="0.2">
      <c r="A105" s="101">
        <f>IF(Values_Entered,A104+1,"")</f>
        <v>88</v>
      </c>
      <c r="B105" s="102">
        <f t="shared" si="8"/>
        <v>47209</v>
      </c>
      <c r="C105" s="103">
        <f t="shared" si="14"/>
        <v>215472.92767530595</v>
      </c>
      <c r="D105" s="103">
        <f t="shared" si="9"/>
        <v>1244.5294817906613</v>
      </c>
      <c r="E105" s="104">
        <f t="shared" si="10"/>
        <v>0</v>
      </c>
      <c r="F105" s="103">
        <f t="shared" si="11"/>
        <v>1244.5294817906613</v>
      </c>
      <c r="G105" s="103">
        <f t="shared" si="12"/>
        <v>463.44011896767722</v>
      </c>
      <c r="H105" s="103">
        <f t="shared" si="15"/>
        <v>781.08936282298407</v>
      </c>
      <c r="I105" s="103">
        <f t="shared" si="13"/>
        <v>215009.48755633828</v>
      </c>
      <c r="J105" s="103">
        <f>SUM($H$18:$H105)</f>
        <v>74528.081953916626</v>
      </c>
    </row>
    <row r="106" spans="1:10" x14ac:dyDescent="0.2">
      <c r="A106" s="101">
        <f>IF(Values_Entered,A105+1,"")</f>
        <v>89</v>
      </c>
      <c r="B106" s="102">
        <f t="shared" si="8"/>
        <v>47239</v>
      </c>
      <c r="C106" s="103">
        <f t="shared" si="14"/>
        <v>215009.48755633828</v>
      </c>
      <c r="D106" s="103">
        <f t="shared" si="9"/>
        <v>1244.5294817906613</v>
      </c>
      <c r="E106" s="104">
        <f t="shared" si="10"/>
        <v>0</v>
      </c>
      <c r="F106" s="103">
        <f t="shared" si="11"/>
        <v>1244.5294817906613</v>
      </c>
      <c r="G106" s="103">
        <f t="shared" si="12"/>
        <v>465.12008939893508</v>
      </c>
      <c r="H106" s="103">
        <f t="shared" si="15"/>
        <v>779.40939239172621</v>
      </c>
      <c r="I106" s="103">
        <f t="shared" si="13"/>
        <v>214544.36746693935</v>
      </c>
      <c r="J106" s="103">
        <f>SUM($H$18:$H106)</f>
        <v>75307.49134630835</v>
      </c>
    </row>
    <row r="107" spans="1:10" x14ac:dyDescent="0.2">
      <c r="A107" s="101">
        <f>IF(Values_Entered,A106+1,"")</f>
        <v>90</v>
      </c>
      <c r="B107" s="102">
        <f t="shared" si="8"/>
        <v>47270</v>
      </c>
      <c r="C107" s="103">
        <f t="shared" si="14"/>
        <v>214544.36746693935</v>
      </c>
      <c r="D107" s="103">
        <f t="shared" si="9"/>
        <v>1244.5294817906613</v>
      </c>
      <c r="E107" s="104">
        <f t="shared" si="10"/>
        <v>0</v>
      </c>
      <c r="F107" s="103">
        <f t="shared" si="11"/>
        <v>1244.5294817906613</v>
      </c>
      <c r="G107" s="103">
        <f t="shared" si="12"/>
        <v>466.80614972300623</v>
      </c>
      <c r="H107" s="103">
        <f t="shared" si="15"/>
        <v>777.72333206765506</v>
      </c>
      <c r="I107" s="103">
        <f t="shared" si="13"/>
        <v>214077.56131721634</v>
      </c>
      <c r="J107" s="103">
        <f>SUM($H$18:$H107)</f>
        <v>76085.214678376011</v>
      </c>
    </row>
    <row r="108" spans="1:10" x14ac:dyDescent="0.2">
      <c r="A108" s="101">
        <f>IF(Values_Entered,A107+1,"")</f>
        <v>91</v>
      </c>
      <c r="B108" s="102">
        <f t="shared" si="8"/>
        <v>47300</v>
      </c>
      <c r="C108" s="103">
        <f t="shared" si="14"/>
        <v>214077.56131721634</v>
      </c>
      <c r="D108" s="103">
        <f t="shared" si="9"/>
        <v>1244.5294817906613</v>
      </c>
      <c r="E108" s="104">
        <f t="shared" si="10"/>
        <v>0</v>
      </c>
      <c r="F108" s="103">
        <f t="shared" si="11"/>
        <v>1244.5294817906613</v>
      </c>
      <c r="G108" s="103">
        <f t="shared" si="12"/>
        <v>468.49832201575214</v>
      </c>
      <c r="H108" s="103">
        <f t="shared" si="15"/>
        <v>776.03115977490916</v>
      </c>
      <c r="I108" s="103">
        <f t="shared" si="13"/>
        <v>213609.0629952006</v>
      </c>
      <c r="J108" s="103">
        <f>SUM($H$18:$H108)</f>
        <v>76861.24583815092</v>
      </c>
    </row>
    <row r="109" spans="1:10" x14ac:dyDescent="0.2">
      <c r="A109" s="101">
        <f>IF(Values_Entered,A108+1,"")</f>
        <v>92</v>
      </c>
      <c r="B109" s="102">
        <f t="shared" si="8"/>
        <v>47331</v>
      </c>
      <c r="C109" s="103">
        <f t="shared" si="14"/>
        <v>213609.0629952006</v>
      </c>
      <c r="D109" s="103">
        <f t="shared" si="9"/>
        <v>1244.5294817906613</v>
      </c>
      <c r="E109" s="104">
        <f t="shared" si="10"/>
        <v>0</v>
      </c>
      <c r="F109" s="103">
        <f t="shared" si="11"/>
        <v>1244.5294817906613</v>
      </c>
      <c r="G109" s="103">
        <f t="shared" si="12"/>
        <v>470.19662843305912</v>
      </c>
      <c r="H109" s="103">
        <f t="shared" si="15"/>
        <v>774.33285335760218</v>
      </c>
      <c r="I109" s="103">
        <f t="shared" si="13"/>
        <v>213138.86636676753</v>
      </c>
      <c r="J109" s="103">
        <f>SUM($H$18:$H109)</f>
        <v>77635.578691508519</v>
      </c>
    </row>
    <row r="110" spans="1:10" x14ac:dyDescent="0.2">
      <c r="A110" s="101">
        <f>IF(Values_Entered,A109+1,"")</f>
        <v>93</v>
      </c>
      <c r="B110" s="102">
        <f t="shared" si="8"/>
        <v>47362</v>
      </c>
      <c r="C110" s="103">
        <f t="shared" si="14"/>
        <v>213138.86636676753</v>
      </c>
      <c r="D110" s="103">
        <f t="shared" si="9"/>
        <v>1244.5294817906613</v>
      </c>
      <c r="E110" s="104">
        <f t="shared" si="10"/>
        <v>0</v>
      </c>
      <c r="F110" s="103">
        <f t="shared" si="11"/>
        <v>1244.5294817906613</v>
      </c>
      <c r="G110" s="103">
        <f t="shared" si="12"/>
        <v>471.90109121112903</v>
      </c>
      <c r="H110" s="103">
        <f t="shared" si="15"/>
        <v>772.62839057953227</v>
      </c>
      <c r="I110" s="103">
        <f t="shared" si="13"/>
        <v>212666.9652755564</v>
      </c>
      <c r="J110" s="103">
        <f>SUM($H$18:$H110)</f>
        <v>78408.207082088047</v>
      </c>
    </row>
    <row r="111" spans="1:10" x14ac:dyDescent="0.2">
      <c r="A111" s="101">
        <f>IF(Values_Entered,A110+1,"")</f>
        <v>94</v>
      </c>
      <c r="B111" s="102">
        <f t="shared" si="8"/>
        <v>47392</v>
      </c>
      <c r="C111" s="103">
        <f t="shared" si="14"/>
        <v>212666.9652755564</v>
      </c>
      <c r="D111" s="103">
        <f t="shared" si="9"/>
        <v>1244.5294817906613</v>
      </c>
      <c r="E111" s="104">
        <f t="shared" si="10"/>
        <v>0</v>
      </c>
      <c r="F111" s="103">
        <f t="shared" si="11"/>
        <v>1244.5294817906613</v>
      </c>
      <c r="G111" s="103">
        <f t="shared" si="12"/>
        <v>473.6117326667694</v>
      </c>
      <c r="H111" s="103">
        <f t="shared" si="15"/>
        <v>770.91774912389189</v>
      </c>
      <c r="I111" s="103">
        <f t="shared" si="13"/>
        <v>212193.35354288964</v>
      </c>
      <c r="J111" s="103">
        <f>SUM($H$18:$H111)</f>
        <v>79179.124831211942</v>
      </c>
    </row>
    <row r="112" spans="1:10" x14ac:dyDescent="0.2">
      <c r="A112" s="101">
        <f>IF(Values_Entered,A111+1,"")</f>
        <v>95</v>
      </c>
      <c r="B112" s="102">
        <f t="shared" si="8"/>
        <v>47423</v>
      </c>
      <c r="C112" s="103">
        <f t="shared" si="14"/>
        <v>212193.35354288964</v>
      </c>
      <c r="D112" s="103">
        <f t="shared" si="9"/>
        <v>1244.5294817906613</v>
      </c>
      <c r="E112" s="104">
        <f t="shared" si="10"/>
        <v>0</v>
      </c>
      <c r="F112" s="103">
        <f t="shared" si="11"/>
        <v>1244.5294817906613</v>
      </c>
      <c r="G112" s="103">
        <f t="shared" si="12"/>
        <v>475.32857519768629</v>
      </c>
      <c r="H112" s="103">
        <f t="shared" si="15"/>
        <v>769.200906592975</v>
      </c>
      <c r="I112" s="103">
        <f t="shared" si="13"/>
        <v>211718.02496769195</v>
      </c>
      <c r="J112" s="103">
        <f>SUM($H$18:$H112)</f>
        <v>79948.325737804917</v>
      </c>
    </row>
    <row r="113" spans="1:10" x14ac:dyDescent="0.2">
      <c r="A113" s="101">
        <f>IF(Values_Entered,A112+1,"")</f>
        <v>96</v>
      </c>
      <c r="B113" s="102">
        <f t="shared" si="8"/>
        <v>47453</v>
      </c>
      <c r="C113" s="103">
        <f t="shared" si="14"/>
        <v>211718.02496769195</v>
      </c>
      <c r="D113" s="103">
        <f t="shared" si="9"/>
        <v>1244.5294817906613</v>
      </c>
      <c r="E113" s="104">
        <f t="shared" si="10"/>
        <v>0</v>
      </c>
      <c r="F113" s="103">
        <f t="shared" si="11"/>
        <v>1244.5294817906613</v>
      </c>
      <c r="G113" s="103">
        <f t="shared" si="12"/>
        <v>477.05164128277806</v>
      </c>
      <c r="H113" s="103">
        <f t="shared" si="15"/>
        <v>767.47784050788323</v>
      </c>
      <c r="I113" s="103">
        <f t="shared" si="13"/>
        <v>211240.97332640918</v>
      </c>
      <c r="J113" s="103">
        <f>SUM($H$18:$H113)</f>
        <v>80715.8035783128</v>
      </c>
    </row>
    <row r="114" spans="1:10" x14ac:dyDescent="0.2">
      <c r="A114" s="101">
        <f>IF(Values_Entered,A113+1,"")</f>
        <v>97</v>
      </c>
      <c r="B114" s="102">
        <f t="shared" si="8"/>
        <v>47484</v>
      </c>
      <c r="C114" s="103">
        <f t="shared" si="14"/>
        <v>211240.97332640918</v>
      </c>
      <c r="D114" s="103">
        <f t="shared" si="9"/>
        <v>1244.5294817906613</v>
      </c>
      <c r="E114" s="104">
        <f t="shared" si="10"/>
        <v>0</v>
      </c>
      <c r="F114" s="103">
        <f t="shared" si="11"/>
        <v>1244.5294817906613</v>
      </c>
      <c r="G114" s="103">
        <f t="shared" si="12"/>
        <v>478.780953482428</v>
      </c>
      <c r="H114" s="103">
        <f t="shared" si="15"/>
        <v>765.74852830823329</v>
      </c>
      <c r="I114" s="103">
        <f t="shared" si="13"/>
        <v>210762.19237292674</v>
      </c>
      <c r="J114" s="103">
        <f>SUM($H$18:$H114)</f>
        <v>81481.552106621035</v>
      </c>
    </row>
    <row r="115" spans="1:10" x14ac:dyDescent="0.2">
      <c r="A115" s="101">
        <f>IF(Values_Entered,A114+1,"")</f>
        <v>98</v>
      </c>
      <c r="B115" s="102">
        <f t="shared" si="8"/>
        <v>47515</v>
      </c>
      <c r="C115" s="103">
        <f t="shared" si="14"/>
        <v>210762.19237292674</v>
      </c>
      <c r="D115" s="103">
        <f t="shared" si="9"/>
        <v>1244.5294817906613</v>
      </c>
      <c r="E115" s="104">
        <f t="shared" si="10"/>
        <v>0</v>
      </c>
      <c r="F115" s="103">
        <f t="shared" si="11"/>
        <v>1244.5294817906613</v>
      </c>
      <c r="G115" s="103">
        <f t="shared" si="12"/>
        <v>480.51653443880184</v>
      </c>
      <c r="H115" s="103">
        <f t="shared" si="15"/>
        <v>764.01294735185945</v>
      </c>
      <c r="I115" s="103">
        <f t="shared" si="13"/>
        <v>210281.67583848795</v>
      </c>
      <c r="J115" s="103">
        <f>SUM($H$18:$H115)</f>
        <v>82245.565053972896</v>
      </c>
    </row>
    <row r="116" spans="1:10" x14ac:dyDescent="0.2">
      <c r="A116" s="101">
        <f>IF(Values_Entered,A115+1,"")</f>
        <v>99</v>
      </c>
      <c r="B116" s="102">
        <f t="shared" si="8"/>
        <v>47543</v>
      </c>
      <c r="C116" s="103">
        <f t="shared" si="14"/>
        <v>210281.67583848795</v>
      </c>
      <c r="D116" s="103">
        <f t="shared" si="9"/>
        <v>1244.5294817906613</v>
      </c>
      <c r="E116" s="104">
        <f t="shared" si="10"/>
        <v>0</v>
      </c>
      <c r="F116" s="103">
        <f t="shared" si="11"/>
        <v>1244.5294817906613</v>
      </c>
      <c r="G116" s="103">
        <f t="shared" si="12"/>
        <v>482.25840687614243</v>
      </c>
      <c r="H116" s="103">
        <f t="shared" si="15"/>
        <v>762.27107491451886</v>
      </c>
      <c r="I116" s="103">
        <f t="shared" si="13"/>
        <v>209799.4174316118</v>
      </c>
      <c r="J116" s="103">
        <f>SUM($H$18:$H116)</f>
        <v>83007.836128887415</v>
      </c>
    </row>
    <row r="117" spans="1:10" x14ac:dyDescent="0.2">
      <c r="A117" s="101">
        <f>IF(Values_Entered,A116+1,"")</f>
        <v>100</v>
      </c>
      <c r="B117" s="102">
        <f t="shared" si="8"/>
        <v>47574</v>
      </c>
      <c r="C117" s="103">
        <f t="shared" si="14"/>
        <v>209799.4174316118</v>
      </c>
      <c r="D117" s="103">
        <f t="shared" si="9"/>
        <v>1244.5294817906613</v>
      </c>
      <c r="E117" s="104">
        <f t="shared" si="10"/>
        <v>0</v>
      </c>
      <c r="F117" s="103">
        <f t="shared" si="11"/>
        <v>1244.5294817906613</v>
      </c>
      <c r="G117" s="103">
        <f t="shared" si="12"/>
        <v>484.00659360106852</v>
      </c>
      <c r="H117" s="103">
        <f t="shared" si="15"/>
        <v>760.52288818959278</v>
      </c>
      <c r="I117" s="103">
        <f t="shared" si="13"/>
        <v>209315.41083801072</v>
      </c>
      <c r="J117" s="103">
        <f>SUM($H$18:$H117)</f>
        <v>83768.359017077004</v>
      </c>
    </row>
    <row r="118" spans="1:10" x14ac:dyDescent="0.2">
      <c r="A118" s="101">
        <f>IF(Values_Entered,A117+1,"")</f>
        <v>101</v>
      </c>
      <c r="B118" s="102">
        <f t="shared" si="8"/>
        <v>47604</v>
      </c>
      <c r="C118" s="103">
        <f t="shared" si="14"/>
        <v>209315.41083801072</v>
      </c>
      <c r="D118" s="103">
        <f t="shared" si="9"/>
        <v>1244.5294817906613</v>
      </c>
      <c r="E118" s="104">
        <f t="shared" si="10"/>
        <v>0</v>
      </c>
      <c r="F118" s="103">
        <f t="shared" si="11"/>
        <v>1244.5294817906613</v>
      </c>
      <c r="G118" s="103">
        <f t="shared" si="12"/>
        <v>485.76111750287248</v>
      </c>
      <c r="H118" s="103">
        <f t="shared" si="15"/>
        <v>758.76836428778881</v>
      </c>
      <c r="I118" s="103">
        <f t="shared" si="13"/>
        <v>208829.64972050785</v>
      </c>
      <c r="J118" s="103">
        <f>SUM($H$18:$H118)</f>
        <v>84527.127381364786</v>
      </c>
    </row>
    <row r="119" spans="1:10" x14ac:dyDescent="0.2">
      <c r="A119" s="101">
        <f>IF(Values_Entered,A118+1,"")</f>
        <v>102</v>
      </c>
      <c r="B119" s="102">
        <f t="shared" si="8"/>
        <v>47635</v>
      </c>
      <c r="C119" s="103">
        <f t="shared" si="14"/>
        <v>208829.64972050785</v>
      </c>
      <c r="D119" s="103">
        <f t="shared" si="9"/>
        <v>1244.5294817906613</v>
      </c>
      <c r="E119" s="104">
        <f t="shared" si="10"/>
        <v>0</v>
      </c>
      <c r="F119" s="103">
        <f t="shared" si="11"/>
        <v>1244.5294817906613</v>
      </c>
      <c r="G119" s="103">
        <f t="shared" si="12"/>
        <v>487.52200155382036</v>
      </c>
      <c r="H119" s="103">
        <f t="shared" si="15"/>
        <v>757.00748023684093</v>
      </c>
      <c r="I119" s="103">
        <f t="shared" si="13"/>
        <v>208342.12771895403</v>
      </c>
      <c r="J119" s="103">
        <f>SUM($H$18:$H119)</f>
        <v>85284.134861601633</v>
      </c>
    </row>
    <row r="120" spans="1:10" x14ac:dyDescent="0.2">
      <c r="A120" s="101">
        <f>IF(Values_Entered,A119+1,"")</f>
        <v>103</v>
      </c>
      <c r="B120" s="102">
        <f t="shared" si="8"/>
        <v>47665</v>
      </c>
      <c r="C120" s="103">
        <f t="shared" si="14"/>
        <v>208342.12771895403</v>
      </c>
      <c r="D120" s="103">
        <f t="shared" si="9"/>
        <v>1244.5294817906613</v>
      </c>
      <c r="E120" s="104">
        <f t="shared" si="10"/>
        <v>0</v>
      </c>
      <c r="F120" s="103">
        <f t="shared" si="11"/>
        <v>1244.5294817906613</v>
      </c>
      <c r="G120" s="103">
        <f t="shared" si="12"/>
        <v>489.28926880945289</v>
      </c>
      <c r="H120" s="103">
        <f t="shared" si="15"/>
        <v>755.2402129812084</v>
      </c>
      <c r="I120" s="103">
        <f t="shared" si="13"/>
        <v>207852.83845014457</v>
      </c>
      <c r="J120" s="103">
        <f>SUM($H$18:$H120)</f>
        <v>86039.375074582844</v>
      </c>
    </row>
    <row r="121" spans="1:10" x14ac:dyDescent="0.2">
      <c r="A121" s="101">
        <f>IF(Values_Entered,A120+1,"")</f>
        <v>104</v>
      </c>
      <c r="B121" s="102">
        <f t="shared" si="8"/>
        <v>47696</v>
      </c>
      <c r="C121" s="103">
        <f t="shared" si="14"/>
        <v>207852.83845014457</v>
      </c>
      <c r="D121" s="103">
        <f t="shared" si="9"/>
        <v>1244.5294817906613</v>
      </c>
      <c r="E121" s="104">
        <f t="shared" si="10"/>
        <v>0</v>
      </c>
      <c r="F121" s="103">
        <f t="shared" si="11"/>
        <v>1244.5294817906613</v>
      </c>
      <c r="G121" s="103">
        <f t="shared" si="12"/>
        <v>491.06294240888724</v>
      </c>
      <c r="H121" s="103">
        <f t="shared" si="15"/>
        <v>753.46653938177406</v>
      </c>
      <c r="I121" s="103">
        <f t="shared" si="13"/>
        <v>207361.77550773567</v>
      </c>
      <c r="J121" s="103">
        <f>SUM($H$18:$H121)</f>
        <v>86792.841613964614</v>
      </c>
    </row>
    <row r="122" spans="1:10" x14ac:dyDescent="0.2">
      <c r="A122" s="101">
        <f>IF(Values_Entered,A121+1,"")</f>
        <v>105</v>
      </c>
      <c r="B122" s="102">
        <f t="shared" si="8"/>
        <v>47727</v>
      </c>
      <c r="C122" s="103">
        <f t="shared" si="14"/>
        <v>207361.77550773567</v>
      </c>
      <c r="D122" s="103">
        <f t="shared" si="9"/>
        <v>1244.5294817906613</v>
      </c>
      <c r="E122" s="104">
        <f t="shared" si="10"/>
        <v>0</v>
      </c>
      <c r="F122" s="103">
        <f t="shared" si="11"/>
        <v>1244.5294817906613</v>
      </c>
      <c r="G122" s="103">
        <f t="shared" si="12"/>
        <v>492.84304557511962</v>
      </c>
      <c r="H122" s="103">
        <f t="shared" si="15"/>
        <v>751.68643621554168</v>
      </c>
      <c r="I122" s="103">
        <f t="shared" si="13"/>
        <v>206868.93246216056</v>
      </c>
      <c r="J122" s="103">
        <f>SUM($H$18:$H122)</f>
        <v>87544.528050180161</v>
      </c>
    </row>
    <row r="123" spans="1:10" x14ac:dyDescent="0.2">
      <c r="A123" s="101">
        <f>IF(Values_Entered,A122+1,"")</f>
        <v>106</v>
      </c>
      <c r="B123" s="102">
        <f t="shared" si="8"/>
        <v>47757</v>
      </c>
      <c r="C123" s="103">
        <f t="shared" si="14"/>
        <v>206868.93246216056</v>
      </c>
      <c r="D123" s="103">
        <f t="shared" si="9"/>
        <v>1244.5294817906613</v>
      </c>
      <c r="E123" s="104">
        <f t="shared" si="10"/>
        <v>0</v>
      </c>
      <c r="F123" s="103">
        <f t="shared" si="11"/>
        <v>1244.5294817906613</v>
      </c>
      <c r="G123" s="103">
        <f t="shared" si="12"/>
        <v>494.62960161532931</v>
      </c>
      <c r="H123" s="103">
        <f t="shared" si="15"/>
        <v>749.89988017533199</v>
      </c>
      <c r="I123" s="103">
        <f t="shared" si="13"/>
        <v>206374.30286054523</v>
      </c>
      <c r="J123" s="103">
        <f>SUM($H$18:$H123)</f>
        <v>88294.427930355494</v>
      </c>
    </row>
    <row r="124" spans="1:10" x14ac:dyDescent="0.2">
      <c r="A124" s="101">
        <f>IF(Values_Entered,A123+1,"")</f>
        <v>107</v>
      </c>
      <c r="B124" s="102">
        <f t="shared" si="8"/>
        <v>47788</v>
      </c>
      <c r="C124" s="103">
        <f t="shared" si="14"/>
        <v>206374.30286054523</v>
      </c>
      <c r="D124" s="103">
        <f t="shared" si="9"/>
        <v>1244.5294817906613</v>
      </c>
      <c r="E124" s="104">
        <f t="shared" si="10"/>
        <v>0</v>
      </c>
      <c r="F124" s="103">
        <f t="shared" si="11"/>
        <v>1244.5294817906613</v>
      </c>
      <c r="G124" s="103">
        <f t="shared" si="12"/>
        <v>496.42263392118491</v>
      </c>
      <c r="H124" s="103">
        <f t="shared" si="15"/>
        <v>748.10684786947638</v>
      </c>
      <c r="I124" s="103">
        <f t="shared" si="13"/>
        <v>205877.88022662405</v>
      </c>
      <c r="J124" s="103">
        <f>SUM($H$18:$H124)</f>
        <v>89042.534778224974</v>
      </c>
    </row>
    <row r="125" spans="1:10" x14ac:dyDescent="0.2">
      <c r="A125" s="101">
        <f>IF(Values_Entered,A124+1,"")</f>
        <v>108</v>
      </c>
      <c r="B125" s="102">
        <f t="shared" si="8"/>
        <v>47818</v>
      </c>
      <c r="C125" s="103">
        <f t="shared" si="14"/>
        <v>205877.88022662405</v>
      </c>
      <c r="D125" s="103">
        <f t="shared" si="9"/>
        <v>1244.5294817906613</v>
      </c>
      <c r="E125" s="104">
        <f t="shared" si="10"/>
        <v>0</v>
      </c>
      <c r="F125" s="103">
        <f t="shared" si="11"/>
        <v>1244.5294817906613</v>
      </c>
      <c r="G125" s="103">
        <f t="shared" si="12"/>
        <v>498.22216596914916</v>
      </c>
      <c r="H125" s="103">
        <f t="shared" si="15"/>
        <v>746.30731582151213</v>
      </c>
      <c r="I125" s="103">
        <f t="shared" si="13"/>
        <v>205379.65806065491</v>
      </c>
      <c r="J125" s="103">
        <f>SUM($H$18:$H125)</f>
        <v>89788.842094046486</v>
      </c>
    </row>
    <row r="126" spans="1:10" x14ac:dyDescent="0.2">
      <c r="A126" s="101">
        <f>IF(Values_Entered,A125+1,"")</f>
        <v>109</v>
      </c>
      <c r="B126" s="102">
        <f t="shared" si="8"/>
        <v>47849</v>
      </c>
      <c r="C126" s="103">
        <f t="shared" si="14"/>
        <v>205379.65806065491</v>
      </c>
      <c r="D126" s="103">
        <f t="shared" si="9"/>
        <v>1244.5294817906613</v>
      </c>
      <c r="E126" s="104">
        <f t="shared" si="10"/>
        <v>0</v>
      </c>
      <c r="F126" s="103">
        <f t="shared" si="11"/>
        <v>1244.5294817906613</v>
      </c>
      <c r="G126" s="103">
        <f t="shared" si="12"/>
        <v>500.02822132078722</v>
      </c>
      <c r="H126" s="103">
        <f t="shared" si="15"/>
        <v>744.50126046987407</v>
      </c>
      <c r="I126" s="103">
        <f t="shared" si="13"/>
        <v>204879.62983933411</v>
      </c>
      <c r="J126" s="103">
        <f>SUM($H$18:$H126)</f>
        <v>90533.343354516357</v>
      </c>
    </row>
    <row r="127" spans="1:10" x14ac:dyDescent="0.2">
      <c r="A127" s="101">
        <f>IF(Values_Entered,A126+1,"")</f>
        <v>110</v>
      </c>
      <c r="B127" s="102">
        <f t="shared" si="8"/>
        <v>47880</v>
      </c>
      <c r="C127" s="103">
        <f t="shared" si="14"/>
        <v>204879.62983933411</v>
      </c>
      <c r="D127" s="103">
        <f t="shared" si="9"/>
        <v>1244.5294817906613</v>
      </c>
      <c r="E127" s="104">
        <f t="shared" si="10"/>
        <v>0</v>
      </c>
      <c r="F127" s="103">
        <f t="shared" si="11"/>
        <v>1244.5294817906613</v>
      </c>
      <c r="G127" s="103">
        <f t="shared" si="12"/>
        <v>501.84082362307515</v>
      </c>
      <c r="H127" s="103">
        <f t="shared" si="15"/>
        <v>742.68865816758614</v>
      </c>
      <c r="I127" s="103">
        <f t="shared" si="13"/>
        <v>204377.78901571105</v>
      </c>
      <c r="J127" s="103">
        <f>SUM($H$18:$H127)</f>
        <v>91276.032012683936</v>
      </c>
    </row>
    <row r="128" spans="1:10" x14ac:dyDescent="0.2">
      <c r="A128" s="101">
        <f>IF(Values_Entered,A127+1,"")</f>
        <v>111</v>
      </c>
      <c r="B128" s="102">
        <f t="shared" si="8"/>
        <v>47908</v>
      </c>
      <c r="C128" s="103">
        <f t="shared" si="14"/>
        <v>204377.78901571105</v>
      </c>
      <c r="D128" s="103">
        <f t="shared" si="9"/>
        <v>1244.5294817906613</v>
      </c>
      <c r="E128" s="104">
        <f t="shared" si="10"/>
        <v>0</v>
      </c>
      <c r="F128" s="103">
        <f t="shared" si="11"/>
        <v>1244.5294817906613</v>
      </c>
      <c r="G128" s="103">
        <f t="shared" si="12"/>
        <v>503.65999660870887</v>
      </c>
      <c r="H128" s="103">
        <f t="shared" si="15"/>
        <v>740.86948518195243</v>
      </c>
      <c r="I128" s="103">
        <f t="shared" si="13"/>
        <v>203874.12901910234</v>
      </c>
      <c r="J128" s="103">
        <f>SUM($H$18:$H128)</f>
        <v>92016.901497865882</v>
      </c>
    </row>
    <row r="129" spans="1:10" x14ac:dyDescent="0.2">
      <c r="A129" s="101">
        <f>IF(Values_Entered,A128+1,"")</f>
        <v>112</v>
      </c>
      <c r="B129" s="102">
        <f t="shared" si="8"/>
        <v>47939</v>
      </c>
      <c r="C129" s="103">
        <f t="shared" si="14"/>
        <v>203874.12901910234</v>
      </c>
      <c r="D129" s="103">
        <f t="shared" si="9"/>
        <v>1244.5294817906613</v>
      </c>
      <c r="E129" s="104">
        <f t="shared" si="10"/>
        <v>0</v>
      </c>
      <c r="F129" s="103">
        <f t="shared" si="11"/>
        <v>1244.5294817906613</v>
      </c>
      <c r="G129" s="103">
        <f t="shared" si="12"/>
        <v>505.48576409641532</v>
      </c>
      <c r="H129" s="103">
        <f t="shared" si="15"/>
        <v>739.04371769424597</v>
      </c>
      <c r="I129" s="103">
        <f t="shared" si="13"/>
        <v>203368.64325500594</v>
      </c>
      <c r="J129" s="103">
        <f>SUM($H$18:$H129)</f>
        <v>92755.945215560132</v>
      </c>
    </row>
    <row r="130" spans="1:10" x14ac:dyDescent="0.2">
      <c r="A130" s="101">
        <f>IF(Values_Entered,A129+1,"")</f>
        <v>113</v>
      </c>
      <c r="B130" s="102">
        <f t="shared" si="8"/>
        <v>47969</v>
      </c>
      <c r="C130" s="103">
        <f t="shared" si="14"/>
        <v>203368.64325500594</v>
      </c>
      <c r="D130" s="103">
        <f t="shared" si="9"/>
        <v>1244.5294817906613</v>
      </c>
      <c r="E130" s="104">
        <f t="shared" si="10"/>
        <v>0</v>
      </c>
      <c r="F130" s="103">
        <f t="shared" si="11"/>
        <v>1244.5294817906613</v>
      </c>
      <c r="G130" s="103">
        <f t="shared" si="12"/>
        <v>507.3181499912647</v>
      </c>
      <c r="H130" s="103">
        <f t="shared" si="15"/>
        <v>737.21133179939659</v>
      </c>
      <c r="I130" s="103">
        <f t="shared" si="13"/>
        <v>202861.32510501466</v>
      </c>
      <c r="J130" s="103">
        <f>SUM($H$18:$H130)</f>
        <v>93493.156547359526</v>
      </c>
    </row>
    <row r="131" spans="1:10" x14ac:dyDescent="0.2">
      <c r="A131" s="101">
        <f>IF(Values_Entered,A130+1,"")</f>
        <v>114</v>
      </c>
      <c r="B131" s="102">
        <f t="shared" si="8"/>
        <v>48000</v>
      </c>
      <c r="C131" s="103">
        <f t="shared" si="14"/>
        <v>202861.32510501466</v>
      </c>
      <c r="D131" s="103">
        <f t="shared" si="9"/>
        <v>1244.5294817906613</v>
      </c>
      <c r="E131" s="104">
        <f t="shared" si="10"/>
        <v>0</v>
      </c>
      <c r="F131" s="103">
        <f t="shared" si="11"/>
        <v>1244.5294817906613</v>
      </c>
      <c r="G131" s="103">
        <f t="shared" si="12"/>
        <v>509.15717828498316</v>
      </c>
      <c r="H131" s="103">
        <f t="shared" si="15"/>
        <v>735.37230350567813</v>
      </c>
      <c r="I131" s="103">
        <f t="shared" si="13"/>
        <v>202352.16792672969</v>
      </c>
      <c r="J131" s="103">
        <f>SUM($H$18:$H131)</f>
        <v>94228.528850865201</v>
      </c>
    </row>
    <row r="132" spans="1:10" x14ac:dyDescent="0.2">
      <c r="A132" s="101">
        <f>IF(Values_Entered,A131+1,"")</f>
        <v>115</v>
      </c>
      <c r="B132" s="102">
        <f t="shared" si="8"/>
        <v>48030</v>
      </c>
      <c r="C132" s="103">
        <f t="shared" si="14"/>
        <v>202352.16792672969</v>
      </c>
      <c r="D132" s="103">
        <f t="shared" si="9"/>
        <v>1244.5294817906613</v>
      </c>
      <c r="E132" s="104">
        <f t="shared" si="10"/>
        <v>0</v>
      </c>
      <c r="F132" s="103">
        <f t="shared" si="11"/>
        <v>1244.5294817906613</v>
      </c>
      <c r="G132" s="103">
        <f t="shared" si="12"/>
        <v>511.00287305626614</v>
      </c>
      <c r="H132" s="103">
        <f t="shared" si="15"/>
        <v>733.52660873439515</v>
      </c>
      <c r="I132" s="103">
        <f t="shared" si="13"/>
        <v>201841.16505367341</v>
      </c>
      <c r="J132" s="103">
        <f>SUM($H$18:$H132)</f>
        <v>94962.055459599593</v>
      </c>
    </row>
    <row r="133" spans="1:10" x14ac:dyDescent="0.2">
      <c r="A133" s="101">
        <f>IF(Values_Entered,A132+1,"")</f>
        <v>116</v>
      </c>
      <c r="B133" s="102">
        <f t="shared" si="8"/>
        <v>48061</v>
      </c>
      <c r="C133" s="103">
        <f t="shared" si="14"/>
        <v>201841.16505367341</v>
      </c>
      <c r="D133" s="103">
        <f t="shared" si="9"/>
        <v>1244.5294817906613</v>
      </c>
      <c r="E133" s="104">
        <f t="shared" si="10"/>
        <v>0</v>
      </c>
      <c r="F133" s="103">
        <f t="shared" si="11"/>
        <v>1244.5294817906613</v>
      </c>
      <c r="G133" s="103">
        <f t="shared" si="12"/>
        <v>512.85525847109523</v>
      </c>
      <c r="H133" s="103">
        <f t="shared" si="15"/>
        <v>731.67422331956607</v>
      </c>
      <c r="I133" s="103">
        <f t="shared" si="13"/>
        <v>201328.30979520231</v>
      </c>
      <c r="J133" s="103">
        <f>SUM($H$18:$H133)</f>
        <v>95693.729682919162</v>
      </c>
    </row>
    <row r="134" spans="1:10" x14ac:dyDescent="0.2">
      <c r="A134" s="101">
        <f>IF(Values_Entered,A133+1,"")</f>
        <v>117</v>
      </c>
      <c r="B134" s="102">
        <f t="shared" si="8"/>
        <v>48092</v>
      </c>
      <c r="C134" s="103">
        <f t="shared" si="14"/>
        <v>201328.30979520231</v>
      </c>
      <c r="D134" s="103">
        <f t="shared" si="9"/>
        <v>1244.5294817906613</v>
      </c>
      <c r="E134" s="104">
        <f t="shared" si="10"/>
        <v>0</v>
      </c>
      <c r="F134" s="103">
        <f t="shared" si="11"/>
        <v>1244.5294817906613</v>
      </c>
      <c r="G134" s="103">
        <f t="shared" si="12"/>
        <v>514.71435878305294</v>
      </c>
      <c r="H134" s="103">
        <f t="shared" si="15"/>
        <v>729.81512300760835</v>
      </c>
      <c r="I134" s="103">
        <f t="shared" si="13"/>
        <v>200813.59543641924</v>
      </c>
      <c r="J134" s="103">
        <f>SUM($H$18:$H134)</f>
        <v>96423.544805926766</v>
      </c>
    </row>
    <row r="135" spans="1:10" x14ac:dyDescent="0.2">
      <c r="A135" s="101">
        <f>IF(Values_Entered,A134+1,"")</f>
        <v>118</v>
      </c>
      <c r="B135" s="102">
        <f t="shared" si="8"/>
        <v>48122</v>
      </c>
      <c r="C135" s="103">
        <f t="shared" si="14"/>
        <v>200813.59543641924</v>
      </c>
      <c r="D135" s="103">
        <f t="shared" si="9"/>
        <v>1244.5294817906613</v>
      </c>
      <c r="E135" s="104">
        <f t="shared" si="10"/>
        <v>0</v>
      </c>
      <c r="F135" s="103">
        <f t="shared" si="11"/>
        <v>1244.5294817906613</v>
      </c>
      <c r="G135" s="103">
        <f t="shared" si="12"/>
        <v>516.58019833364165</v>
      </c>
      <c r="H135" s="103">
        <f t="shared" si="15"/>
        <v>727.94928345701965</v>
      </c>
      <c r="I135" s="103">
        <f t="shared" si="13"/>
        <v>200297.01523808562</v>
      </c>
      <c r="J135" s="103">
        <f>SUM($H$18:$H135)</f>
        <v>97151.494089383792</v>
      </c>
    </row>
    <row r="136" spans="1:10" x14ac:dyDescent="0.2">
      <c r="A136" s="101">
        <f>IF(Values_Entered,A135+1,"")</f>
        <v>119</v>
      </c>
      <c r="B136" s="102">
        <f t="shared" si="8"/>
        <v>48153</v>
      </c>
      <c r="C136" s="103">
        <f t="shared" si="14"/>
        <v>200297.01523808562</v>
      </c>
      <c r="D136" s="103">
        <f t="shared" si="9"/>
        <v>1244.5294817906613</v>
      </c>
      <c r="E136" s="104">
        <f t="shared" si="10"/>
        <v>0</v>
      </c>
      <c r="F136" s="103">
        <f t="shared" si="11"/>
        <v>1244.5294817906613</v>
      </c>
      <c r="G136" s="103">
        <f t="shared" si="12"/>
        <v>518.45280155260093</v>
      </c>
      <c r="H136" s="103">
        <f t="shared" si="15"/>
        <v>726.07668023806036</v>
      </c>
      <c r="I136" s="103">
        <f t="shared" si="13"/>
        <v>199778.56243653301</v>
      </c>
      <c r="J136" s="103">
        <f>SUM($H$18:$H136)</f>
        <v>97877.570769621845</v>
      </c>
    </row>
    <row r="137" spans="1:10" x14ac:dyDescent="0.2">
      <c r="A137" s="101">
        <f>IF(Values_Entered,A136+1,"")</f>
        <v>120</v>
      </c>
      <c r="B137" s="102">
        <f t="shared" si="8"/>
        <v>48183</v>
      </c>
      <c r="C137" s="103">
        <f t="shared" si="14"/>
        <v>199778.56243653301</v>
      </c>
      <c r="D137" s="103">
        <f t="shared" si="9"/>
        <v>1244.5294817906613</v>
      </c>
      <c r="E137" s="104">
        <f t="shared" si="10"/>
        <v>0</v>
      </c>
      <c r="F137" s="103">
        <f t="shared" si="11"/>
        <v>1244.5294817906613</v>
      </c>
      <c r="G137" s="103">
        <f t="shared" si="12"/>
        <v>520.33219295822914</v>
      </c>
      <c r="H137" s="103">
        <f t="shared" si="15"/>
        <v>724.19728883243215</v>
      </c>
      <c r="I137" s="103">
        <f t="shared" si="13"/>
        <v>199258.2302435748</v>
      </c>
      <c r="J137" s="103">
        <f>SUM($H$18:$H137)</f>
        <v>98601.768058454283</v>
      </c>
    </row>
    <row r="138" spans="1:10" x14ac:dyDescent="0.2">
      <c r="A138" s="101">
        <f>IF(Values_Entered,A137+1,"")</f>
        <v>121</v>
      </c>
      <c r="B138" s="102">
        <f t="shared" si="8"/>
        <v>48214</v>
      </c>
      <c r="C138" s="103">
        <f t="shared" si="14"/>
        <v>199258.2302435748</v>
      </c>
      <c r="D138" s="103">
        <f t="shared" si="9"/>
        <v>1244.5294817906613</v>
      </c>
      <c r="E138" s="104">
        <f t="shared" si="10"/>
        <v>0</v>
      </c>
      <c r="F138" s="103">
        <f t="shared" si="11"/>
        <v>1244.5294817906613</v>
      </c>
      <c r="G138" s="103">
        <f t="shared" si="12"/>
        <v>522.21839715770273</v>
      </c>
      <c r="H138" s="103">
        <f t="shared" si="15"/>
        <v>722.31108463295857</v>
      </c>
      <c r="I138" s="103">
        <f t="shared" si="13"/>
        <v>198736.0118464171</v>
      </c>
      <c r="J138" s="103">
        <f>SUM($H$18:$H138)</f>
        <v>99324.079143087249</v>
      </c>
    </row>
    <row r="139" spans="1:10" x14ac:dyDescent="0.2">
      <c r="A139" s="101">
        <f>IF(Values_Entered,A138+1,"")</f>
        <v>122</v>
      </c>
      <c r="B139" s="102">
        <f t="shared" si="8"/>
        <v>48245</v>
      </c>
      <c r="C139" s="103">
        <f t="shared" si="14"/>
        <v>198736.0118464171</v>
      </c>
      <c r="D139" s="103">
        <f t="shared" si="9"/>
        <v>1244.5294817906613</v>
      </c>
      <c r="E139" s="104">
        <f t="shared" si="10"/>
        <v>0</v>
      </c>
      <c r="F139" s="103">
        <f t="shared" si="11"/>
        <v>1244.5294817906613</v>
      </c>
      <c r="G139" s="103">
        <f t="shared" si="12"/>
        <v>524.11143884739943</v>
      </c>
      <c r="H139" s="103">
        <f t="shared" si="15"/>
        <v>720.41804294326187</v>
      </c>
      <c r="I139" s="103">
        <f t="shared" si="13"/>
        <v>198211.90040756969</v>
      </c>
      <c r="J139" s="103">
        <f>SUM($H$18:$H139)</f>
        <v>100044.49718603051</v>
      </c>
    </row>
    <row r="140" spans="1:10" x14ac:dyDescent="0.2">
      <c r="A140" s="101">
        <f>IF(Values_Entered,A139+1,"")</f>
        <v>123</v>
      </c>
      <c r="B140" s="102">
        <f t="shared" si="8"/>
        <v>48274</v>
      </c>
      <c r="C140" s="103">
        <f t="shared" si="14"/>
        <v>198211.90040756969</v>
      </c>
      <c r="D140" s="103">
        <f t="shared" si="9"/>
        <v>1244.5294817906613</v>
      </c>
      <c r="E140" s="104">
        <f t="shared" si="10"/>
        <v>0</v>
      </c>
      <c r="F140" s="103">
        <f t="shared" si="11"/>
        <v>1244.5294817906613</v>
      </c>
      <c r="G140" s="103">
        <f t="shared" si="12"/>
        <v>526.01134281322118</v>
      </c>
      <c r="H140" s="103">
        <f t="shared" si="15"/>
        <v>718.51813897744012</v>
      </c>
      <c r="I140" s="103">
        <f t="shared" si="13"/>
        <v>197685.88906475645</v>
      </c>
      <c r="J140" s="103">
        <f>SUM($H$18:$H140)</f>
        <v>100763.01532500795</v>
      </c>
    </row>
    <row r="141" spans="1:10" x14ac:dyDescent="0.2">
      <c r="A141" s="101">
        <f>IF(Values_Entered,A140+1,"")</f>
        <v>124</v>
      </c>
      <c r="B141" s="102">
        <f t="shared" si="8"/>
        <v>48305</v>
      </c>
      <c r="C141" s="103">
        <f t="shared" si="14"/>
        <v>197685.88906475645</v>
      </c>
      <c r="D141" s="103">
        <f t="shared" si="9"/>
        <v>1244.5294817906613</v>
      </c>
      <c r="E141" s="104">
        <f t="shared" si="10"/>
        <v>0</v>
      </c>
      <c r="F141" s="103">
        <f t="shared" si="11"/>
        <v>1244.5294817906613</v>
      </c>
      <c r="G141" s="103">
        <f t="shared" si="12"/>
        <v>527.91813393091923</v>
      </c>
      <c r="H141" s="103">
        <f t="shared" si="15"/>
        <v>716.61134785974207</v>
      </c>
      <c r="I141" s="103">
        <f t="shared" si="13"/>
        <v>197157.97093082554</v>
      </c>
      <c r="J141" s="103">
        <f>SUM($H$18:$H141)</f>
        <v>101479.62667286769</v>
      </c>
    </row>
    <row r="142" spans="1:10" x14ac:dyDescent="0.2">
      <c r="A142" s="101">
        <f>IF(Values_Entered,A141+1,"")</f>
        <v>125</v>
      </c>
      <c r="B142" s="102">
        <f t="shared" si="8"/>
        <v>48335</v>
      </c>
      <c r="C142" s="103">
        <f t="shared" si="14"/>
        <v>197157.97093082554</v>
      </c>
      <c r="D142" s="103">
        <f t="shared" si="9"/>
        <v>1244.5294817906613</v>
      </c>
      <c r="E142" s="104">
        <f t="shared" si="10"/>
        <v>0</v>
      </c>
      <c r="F142" s="103">
        <f t="shared" si="11"/>
        <v>1244.5294817906613</v>
      </c>
      <c r="G142" s="103">
        <f t="shared" si="12"/>
        <v>529.83183716641872</v>
      </c>
      <c r="H142" s="103">
        <f t="shared" si="15"/>
        <v>714.69764462424257</v>
      </c>
      <c r="I142" s="103">
        <f t="shared" si="13"/>
        <v>196628.13909365912</v>
      </c>
      <c r="J142" s="103">
        <f>SUM($H$18:$H142)</f>
        <v>102194.32431749193</v>
      </c>
    </row>
    <row r="143" spans="1:10" x14ac:dyDescent="0.2">
      <c r="A143" s="101">
        <f>IF(Values_Entered,A142+1,"")</f>
        <v>126</v>
      </c>
      <c r="B143" s="102">
        <f t="shared" si="8"/>
        <v>48366</v>
      </c>
      <c r="C143" s="103">
        <f t="shared" si="14"/>
        <v>196628.13909365912</v>
      </c>
      <c r="D143" s="103">
        <f t="shared" si="9"/>
        <v>1244.5294817906613</v>
      </c>
      <c r="E143" s="104">
        <f t="shared" si="10"/>
        <v>0</v>
      </c>
      <c r="F143" s="103">
        <f t="shared" si="11"/>
        <v>1244.5294817906613</v>
      </c>
      <c r="G143" s="103">
        <f t="shared" si="12"/>
        <v>531.75247757614704</v>
      </c>
      <c r="H143" s="103">
        <f t="shared" si="15"/>
        <v>712.77700421451425</v>
      </c>
      <c r="I143" s="103">
        <f t="shared" si="13"/>
        <v>196096.38661608298</v>
      </c>
      <c r="J143" s="103">
        <f>SUM($H$18:$H143)</f>
        <v>102907.10132170645</v>
      </c>
    </row>
    <row r="144" spans="1:10" x14ac:dyDescent="0.2">
      <c r="A144" s="101">
        <f>IF(Values_Entered,A143+1,"")</f>
        <v>127</v>
      </c>
      <c r="B144" s="102">
        <f t="shared" si="8"/>
        <v>48396</v>
      </c>
      <c r="C144" s="103">
        <f t="shared" si="14"/>
        <v>196096.38661608298</v>
      </c>
      <c r="D144" s="103">
        <f t="shared" si="9"/>
        <v>1244.5294817906613</v>
      </c>
      <c r="E144" s="104">
        <f t="shared" si="10"/>
        <v>0</v>
      </c>
      <c r="F144" s="103">
        <f t="shared" si="11"/>
        <v>1244.5294817906613</v>
      </c>
      <c r="G144" s="103">
        <f t="shared" si="12"/>
        <v>533.68008030736053</v>
      </c>
      <c r="H144" s="103">
        <f t="shared" si="15"/>
        <v>710.84940148330077</v>
      </c>
      <c r="I144" s="103">
        <f t="shared" si="13"/>
        <v>195562.70653577562</v>
      </c>
      <c r="J144" s="103">
        <f>SUM($H$18:$H144)</f>
        <v>103617.95072318974</v>
      </c>
    </row>
    <row r="145" spans="1:10" x14ac:dyDescent="0.2">
      <c r="A145" s="101">
        <f>IF(Values_Entered,A144+1,"")</f>
        <v>128</v>
      </c>
      <c r="B145" s="102">
        <f t="shared" si="8"/>
        <v>48427</v>
      </c>
      <c r="C145" s="103">
        <f t="shared" si="14"/>
        <v>195562.70653577562</v>
      </c>
      <c r="D145" s="103">
        <f t="shared" si="9"/>
        <v>1244.5294817906613</v>
      </c>
      <c r="E145" s="104">
        <f t="shared" si="10"/>
        <v>0</v>
      </c>
      <c r="F145" s="103">
        <f t="shared" si="11"/>
        <v>1244.5294817906613</v>
      </c>
      <c r="G145" s="103">
        <f t="shared" si="12"/>
        <v>535.61467059847462</v>
      </c>
      <c r="H145" s="103">
        <f t="shared" si="15"/>
        <v>708.91481119218668</v>
      </c>
      <c r="I145" s="103">
        <f t="shared" si="13"/>
        <v>195027.09186517715</v>
      </c>
      <c r="J145" s="103">
        <f>SUM($H$18:$H145)</f>
        <v>104326.86553438193</v>
      </c>
    </row>
    <row r="146" spans="1:10" x14ac:dyDescent="0.2">
      <c r="A146" s="101">
        <f>IF(Values_Entered,A145+1,"")</f>
        <v>129</v>
      </c>
      <c r="B146" s="102">
        <f t="shared" ref="B146:B209" si="16">IF(Pay_Num&lt;&gt;"",DATE(YEAR(Loan_Start),MONTH(Loan_Start)+(Pay_Num)*12/Num_Pmt_Per_Year,DAY(Loan_Start)),"")</f>
        <v>48458</v>
      </c>
      <c r="C146" s="103">
        <f t="shared" si="14"/>
        <v>195027.09186517715</v>
      </c>
      <c r="D146" s="103">
        <f t="shared" ref="D146:D209" si="17">IF(Pay_Num&lt;&gt;"",Scheduled_Monthly_Payment,"")</f>
        <v>1244.5294817906613</v>
      </c>
      <c r="E146" s="104">
        <f t="shared" ref="E146:E209" si="18">IF(AND(Pay_Num&lt;&gt;"",Sched_Pay+Scheduled_Extra_Payments&lt;Beg_Bal),Scheduled_Extra_Payments,IF(AND(Pay_Num&lt;&gt;"",Beg_Bal-Sched_Pay&gt;0),Beg_Bal-Sched_Pay,IF(Pay_Num&lt;&gt;"",0,"")))</f>
        <v>0</v>
      </c>
      <c r="F146" s="103">
        <f t="shared" ref="F146:F209" si="19">IF(AND(Pay_Num&lt;&gt;"",Sched_Pay+Extra_Pay&lt;Beg_Bal),Sched_Pay+Extra_Pay,IF(Pay_Num&lt;&gt;"",Beg_Bal,""))</f>
        <v>1244.5294817906613</v>
      </c>
      <c r="G146" s="103">
        <f t="shared" ref="G146:G209" si="20">IF(Pay_Num&lt;&gt;"",Total_Pay-Int,"")</f>
        <v>537.55627377939413</v>
      </c>
      <c r="H146" s="103">
        <f t="shared" si="15"/>
        <v>706.97320801126716</v>
      </c>
      <c r="I146" s="103">
        <f t="shared" ref="I146:I209" si="21">IF(AND(Pay_Num&lt;&gt;"",Sched_Pay+Extra_Pay&lt;Beg_Bal),Beg_Bal-Princ,IF(Pay_Num&lt;&gt;"",0,""))</f>
        <v>194489.53559139775</v>
      </c>
      <c r="J146" s="103">
        <f>SUM($H$18:$H146)</f>
        <v>105033.8387423932</v>
      </c>
    </row>
    <row r="147" spans="1:10" x14ac:dyDescent="0.2">
      <c r="A147" s="101">
        <f>IF(Values_Entered,A146+1,"")</f>
        <v>130</v>
      </c>
      <c r="B147" s="102">
        <f t="shared" si="16"/>
        <v>48488</v>
      </c>
      <c r="C147" s="103">
        <f t="shared" ref="C147:C210" si="22">IF(Pay_Num&lt;&gt;"",I146,"")</f>
        <v>194489.53559139775</v>
      </c>
      <c r="D147" s="103">
        <f t="shared" si="17"/>
        <v>1244.5294817906613</v>
      </c>
      <c r="E147" s="104">
        <f t="shared" si="18"/>
        <v>0</v>
      </c>
      <c r="F147" s="103">
        <f t="shared" si="19"/>
        <v>1244.5294817906613</v>
      </c>
      <c r="G147" s="103">
        <f t="shared" si="20"/>
        <v>539.50491527184454</v>
      </c>
      <c r="H147" s="103">
        <f t="shared" ref="H147:H210" si="23">IF(Pay_Num&lt;&gt;"",Beg_Bal*Interest_Rate/Num_Pmt_Per_Year,"")</f>
        <v>705.02456651881675</v>
      </c>
      <c r="I147" s="103">
        <f t="shared" si="21"/>
        <v>193950.0306761259</v>
      </c>
      <c r="J147" s="103">
        <f>SUM($H$18:$H147)</f>
        <v>105738.86330891201</v>
      </c>
    </row>
    <row r="148" spans="1:10" x14ac:dyDescent="0.2">
      <c r="A148" s="101">
        <f>IF(Values_Entered,A147+1,"")</f>
        <v>131</v>
      </c>
      <c r="B148" s="102">
        <f t="shared" si="16"/>
        <v>48519</v>
      </c>
      <c r="C148" s="103">
        <f t="shared" si="22"/>
        <v>193950.0306761259</v>
      </c>
      <c r="D148" s="103">
        <f t="shared" si="17"/>
        <v>1244.5294817906613</v>
      </c>
      <c r="E148" s="104">
        <f t="shared" si="18"/>
        <v>0</v>
      </c>
      <c r="F148" s="103">
        <f t="shared" si="19"/>
        <v>1244.5294817906613</v>
      </c>
      <c r="G148" s="103">
        <f t="shared" si="20"/>
        <v>541.46062058970494</v>
      </c>
      <c r="H148" s="103">
        <f t="shared" si="23"/>
        <v>703.06886120095635</v>
      </c>
      <c r="I148" s="103">
        <f t="shared" si="21"/>
        <v>193408.5700555362</v>
      </c>
      <c r="J148" s="103">
        <f>SUM($H$18:$H148)</f>
        <v>106441.93217011297</v>
      </c>
    </row>
    <row r="149" spans="1:10" x14ac:dyDescent="0.2">
      <c r="A149" s="101">
        <f>IF(Values_Entered,A148+1,"")</f>
        <v>132</v>
      </c>
      <c r="B149" s="102">
        <f t="shared" si="16"/>
        <v>48549</v>
      </c>
      <c r="C149" s="103">
        <f t="shared" si="22"/>
        <v>193408.5700555362</v>
      </c>
      <c r="D149" s="103">
        <f t="shared" si="17"/>
        <v>1244.5294817906613</v>
      </c>
      <c r="E149" s="104">
        <f t="shared" si="18"/>
        <v>0</v>
      </c>
      <c r="F149" s="103">
        <f t="shared" si="19"/>
        <v>1244.5294817906613</v>
      </c>
      <c r="G149" s="103">
        <f t="shared" si="20"/>
        <v>543.42341533934257</v>
      </c>
      <c r="H149" s="103">
        <f t="shared" si="23"/>
        <v>701.10606645131872</v>
      </c>
      <c r="I149" s="103">
        <f t="shared" si="21"/>
        <v>192865.14664019685</v>
      </c>
      <c r="J149" s="103">
        <f>SUM($H$18:$H149)</f>
        <v>107143.03823656429</v>
      </c>
    </row>
    <row r="150" spans="1:10" x14ac:dyDescent="0.2">
      <c r="A150" s="101">
        <f>IF(Values_Entered,A149+1,"")</f>
        <v>133</v>
      </c>
      <c r="B150" s="102">
        <f t="shared" si="16"/>
        <v>48580</v>
      </c>
      <c r="C150" s="103">
        <f t="shared" si="22"/>
        <v>192865.14664019685</v>
      </c>
      <c r="D150" s="103">
        <f t="shared" si="17"/>
        <v>1244.5294817906613</v>
      </c>
      <c r="E150" s="104">
        <f t="shared" si="18"/>
        <v>0</v>
      </c>
      <c r="F150" s="103">
        <f t="shared" si="19"/>
        <v>1244.5294817906613</v>
      </c>
      <c r="G150" s="103">
        <f t="shared" si="20"/>
        <v>545.39332521994777</v>
      </c>
      <c r="H150" s="103">
        <f t="shared" si="23"/>
        <v>699.13615657071352</v>
      </c>
      <c r="I150" s="103">
        <f t="shared" si="21"/>
        <v>192319.7533149769</v>
      </c>
      <c r="J150" s="103">
        <f>SUM($H$18:$H150)</f>
        <v>107842.17439313501</v>
      </c>
    </row>
    <row r="151" spans="1:10" x14ac:dyDescent="0.2">
      <c r="A151" s="101">
        <f>IF(Values_Entered,A150+1,"")</f>
        <v>134</v>
      </c>
      <c r="B151" s="102">
        <f t="shared" si="16"/>
        <v>48611</v>
      </c>
      <c r="C151" s="103">
        <f t="shared" si="22"/>
        <v>192319.7533149769</v>
      </c>
      <c r="D151" s="103">
        <f t="shared" si="17"/>
        <v>1244.5294817906613</v>
      </c>
      <c r="E151" s="104">
        <f t="shared" si="18"/>
        <v>0</v>
      </c>
      <c r="F151" s="103">
        <f t="shared" si="19"/>
        <v>1244.5294817906613</v>
      </c>
      <c r="G151" s="103">
        <f t="shared" si="20"/>
        <v>547.37037602387011</v>
      </c>
      <c r="H151" s="103">
        <f t="shared" si="23"/>
        <v>697.15910576679119</v>
      </c>
      <c r="I151" s="103">
        <f t="shared" si="21"/>
        <v>191772.38293895303</v>
      </c>
      <c r="J151" s="103">
        <f>SUM($H$18:$H151)</f>
        <v>108539.3334989018</v>
      </c>
    </row>
    <row r="152" spans="1:10" x14ac:dyDescent="0.2">
      <c r="A152" s="101">
        <f>IF(Values_Entered,A151+1,"")</f>
        <v>135</v>
      </c>
      <c r="B152" s="102">
        <f t="shared" si="16"/>
        <v>48639</v>
      </c>
      <c r="C152" s="103">
        <f t="shared" si="22"/>
        <v>191772.38293895303</v>
      </c>
      <c r="D152" s="103">
        <f t="shared" si="17"/>
        <v>1244.5294817906613</v>
      </c>
      <c r="E152" s="104">
        <f t="shared" si="18"/>
        <v>0</v>
      </c>
      <c r="F152" s="103">
        <f t="shared" si="19"/>
        <v>1244.5294817906613</v>
      </c>
      <c r="G152" s="103">
        <f t="shared" si="20"/>
        <v>549.35459363695668</v>
      </c>
      <c r="H152" s="103">
        <f t="shared" si="23"/>
        <v>695.17488815370461</v>
      </c>
      <c r="I152" s="103">
        <f t="shared" si="21"/>
        <v>191223.02834531607</v>
      </c>
      <c r="J152" s="103">
        <f>SUM($H$18:$H152)</f>
        <v>109234.50838705551</v>
      </c>
    </row>
    <row r="153" spans="1:10" x14ac:dyDescent="0.2">
      <c r="A153" s="101">
        <f>IF(Values_Entered,A152+1,"")</f>
        <v>136</v>
      </c>
      <c r="B153" s="102">
        <f t="shared" si="16"/>
        <v>48670</v>
      </c>
      <c r="C153" s="103">
        <f t="shared" si="22"/>
        <v>191223.02834531607</v>
      </c>
      <c r="D153" s="103">
        <f t="shared" si="17"/>
        <v>1244.5294817906613</v>
      </c>
      <c r="E153" s="104">
        <f t="shared" si="18"/>
        <v>0</v>
      </c>
      <c r="F153" s="103">
        <f t="shared" si="19"/>
        <v>1244.5294817906613</v>
      </c>
      <c r="G153" s="103">
        <f t="shared" si="20"/>
        <v>551.34600403889067</v>
      </c>
      <c r="H153" s="103">
        <f t="shared" si="23"/>
        <v>693.18347775177062</v>
      </c>
      <c r="I153" s="103">
        <f t="shared" si="21"/>
        <v>190671.68234127716</v>
      </c>
      <c r="J153" s="103">
        <f>SUM($H$18:$H153)</f>
        <v>109927.69186480728</v>
      </c>
    </row>
    <row r="154" spans="1:10" x14ac:dyDescent="0.2">
      <c r="A154" s="101">
        <f>IF(Values_Entered,A153+1,"")</f>
        <v>137</v>
      </c>
      <c r="B154" s="102">
        <f t="shared" si="16"/>
        <v>48700</v>
      </c>
      <c r="C154" s="103">
        <f t="shared" si="22"/>
        <v>190671.68234127716</v>
      </c>
      <c r="D154" s="103">
        <f t="shared" si="17"/>
        <v>1244.5294817906613</v>
      </c>
      <c r="E154" s="104">
        <f t="shared" si="18"/>
        <v>0</v>
      </c>
      <c r="F154" s="103">
        <f t="shared" si="19"/>
        <v>1244.5294817906613</v>
      </c>
      <c r="G154" s="103">
        <f t="shared" si="20"/>
        <v>553.34463330353162</v>
      </c>
      <c r="H154" s="103">
        <f t="shared" si="23"/>
        <v>691.18484848712967</v>
      </c>
      <c r="I154" s="103">
        <f t="shared" si="21"/>
        <v>190118.33770797364</v>
      </c>
      <c r="J154" s="103">
        <f>SUM($H$18:$H154)</f>
        <v>110618.8767132944</v>
      </c>
    </row>
    <row r="155" spans="1:10" x14ac:dyDescent="0.2">
      <c r="A155" s="101">
        <f>IF(Values_Entered,A154+1,"")</f>
        <v>138</v>
      </c>
      <c r="B155" s="102">
        <f t="shared" si="16"/>
        <v>48731</v>
      </c>
      <c r="C155" s="103">
        <f t="shared" si="22"/>
        <v>190118.33770797364</v>
      </c>
      <c r="D155" s="103">
        <f t="shared" si="17"/>
        <v>1244.5294817906613</v>
      </c>
      <c r="E155" s="104">
        <f t="shared" si="18"/>
        <v>0</v>
      </c>
      <c r="F155" s="103">
        <f t="shared" si="19"/>
        <v>1244.5294817906613</v>
      </c>
      <c r="G155" s="103">
        <f t="shared" si="20"/>
        <v>555.35050759925684</v>
      </c>
      <c r="H155" s="103">
        <f t="shared" si="23"/>
        <v>689.17897419140445</v>
      </c>
      <c r="I155" s="103">
        <f t="shared" si="21"/>
        <v>189562.98720037439</v>
      </c>
      <c r="J155" s="103">
        <f>SUM($H$18:$H155)</f>
        <v>111308.05568748582</v>
      </c>
    </row>
    <row r="156" spans="1:10" x14ac:dyDescent="0.2">
      <c r="A156" s="101">
        <f>IF(Values_Entered,A155+1,"")</f>
        <v>139</v>
      </c>
      <c r="B156" s="102">
        <f t="shared" si="16"/>
        <v>48761</v>
      </c>
      <c r="C156" s="103">
        <f t="shared" si="22"/>
        <v>189562.98720037439</v>
      </c>
      <c r="D156" s="103">
        <f t="shared" si="17"/>
        <v>1244.5294817906613</v>
      </c>
      <c r="E156" s="104">
        <f t="shared" si="18"/>
        <v>0</v>
      </c>
      <c r="F156" s="103">
        <f t="shared" si="19"/>
        <v>1244.5294817906613</v>
      </c>
      <c r="G156" s="103">
        <f t="shared" si="20"/>
        <v>557.36365318930416</v>
      </c>
      <c r="H156" s="103">
        <f t="shared" si="23"/>
        <v>687.16582860135713</v>
      </c>
      <c r="I156" s="103">
        <f t="shared" si="21"/>
        <v>189005.6235471851</v>
      </c>
      <c r="J156" s="103">
        <f>SUM($H$18:$H156)</f>
        <v>111995.22151608717</v>
      </c>
    </row>
    <row r="157" spans="1:10" x14ac:dyDescent="0.2">
      <c r="A157" s="101">
        <f>IF(Values_Entered,A156+1,"")</f>
        <v>140</v>
      </c>
      <c r="B157" s="102">
        <f t="shared" si="16"/>
        <v>48792</v>
      </c>
      <c r="C157" s="103">
        <f t="shared" si="22"/>
        <v>189005.6235471851</v>
      </c>
      <c r="D157" s="103">
        <f t="shared" si="17"/>
        <v>1244.5294817906613</v>
      </c>
      <c r="E157" s="104">
        <f t="shared" si="18"/>
        <v>0</v>
      </c>
      <c r="F157" s="103">
        <f t="shared" si="19"/>
        <v>1244.5294817906613</v>
      </c>
      <c r="G157" s="103">
        <f t="shared" si="20"/>
        <v>559.38409643211537</v>
      </c>
      <c r="H157" s="103">
        <f t="shared" si="23"/>
        <v>685.14538535854592</v>
      </c>
      <c r="I157" s="103">
        <f t="shared" si="21"/>
        <v>188446.23945075297</v>
      </c>
      <c r="J157" s="103">
        <f>SUM($H$18:$H157)</f>
        <v>112680.36690144571</v>
      </c>
    </row>
    <row r="158" spans="1:10" x14ac:dyDescent="0.2">
      <c r="A158" s="101">
        <f>IF(Values_Entered,A157+1,"")</f>
        <v>141</v>
      </c>
      <c r="B158" s="102">
        <f t="shared" si="16"/>
        <v>48823</v>
      </c>
      <c r="C158" s="103">
        <f t="shared" si="22"/>
        <v>188446.23945075297</v>
      </c>
      <c r="D158" s="103">
        <f t="shared" si="17"/>
        <v>1244.5294817906613</v>
      </c>
      <c r="E158" s="104">
        <f t="shared" si="18"/>
        <v>0</v>
      </c>
      <c r="F158" s="103">
        <f t="shared" si="19"/>
        <v>1244.5294817906613</v>
      </c>
      <c r="G158" s="103">
        <f t="shared" si="20"/>
        <v>561.41186378168175</v>
      </c>
      <c r="H158" s="103">
        <f t="shared" si="23"/>
        <v>683.11761800897955</v>
      </c>
      <c r="I158" s="103">
        <f t="shared" si="21"/>
        <v>187884.82758697128</v>
      </c>
      <c r="J158" s="103">
        <f>SUM($H$18:$H158)</f>
        <v>113363.48451945469</v>
      </c>
    </row>
    <row r="159" spans="1:10" x14ac:dyDescent="0.2">
      <c r="A159" s="101">
        <f>IF(Values_Entered,A158+1,"")</f>
        <v>142</v>
      </c>
      <c r="B159" s="102">
        <f t="shared" si="16"/>
        <v>48853</v>
      </c>
      <c r="C159" s="103">
        <f t="shared" si="22"/>
        <v>187884.82758697128</v>
      </c>
      <c r="D159" s="103">
        <f t="shared" si="17"/>
        <v>1244.5294817906613</v>
      </c>
      <c r="E159" s="104">
        <f t="shared" si="18"/>
        <v>0</v>
      </c>
      <c r="F159" s="103">
        <f t="shared" si="19"/>
        <v>1244.5294817906613</v>
      </c>
      <c r="G159" s="103">
        <f t="shared" si="20"/>
        <v>563.44698178789042</v>
      </c>
      <c r="H159" s="103">
        <f t="shared" si="23"/>
        <v>681.08250000277087</v>
      </c>
      <c r="I159" s="103">
        <f t="shared" si="21"/>
        <v>187321.3806051834</v>
      </c>
      <c r="J159" s="103">
        <f>SUM($H$18:$H159)</f>
        <v>114044.56701945746</v>
      </c>
    </row>
    <row r="160" spans="1:10" x14ac:dyDescent="0.2">
      <c r="A160" s="101">
        <f>IF(Values_Entered,A159+1,"")</f>
        <v>143</v>
      </c>
      <c r="B160" s="102">
        <f t="shared" si="16"/>
        <v>48884</v>
      </c>
      <c r="C160" s="103">
        <f t="shared" si="22"/>
        <v>187321.3806051834</v>
      </c>
      <c r="D160" s="103">
        <f t="shared" si="17"/>
        <v>1244.5294817906613</v>
      </c>
      <c r="E160" s="104">
        <f t="shared" si="18"/>
        <v>0</v>
      </c>
      <c r="F160" s="103">
        <f t="shared" si="19"/>
        <v>1244.5294817906613</v>
      </c>
      <c r="G160" s="103">
        <f t="shared" si="20"/>
        <v>565.4894770968715</v>
      </c>
      <c r="H160" s="103">
        <f t="shared" si="23"/>
        <v>679.0400046937898</v>
      </c>
      <c r="I160" s="103">
        <f t="shared" si="21"/>
        <v>186755.89112808651</v>
      </c>
      <c r="J160" s="103">
        <f>SUM($H$18:$H160)</f>
        <v>114723.60702415125</v>
      </c>
    </row>
    <row r="161" spans="1:10" x14ac:dyDescent="0.2">
      <c r="A161" s="101">
        <f>IF(Values_Entered,A160+1,"")</f>
        <v>144</v>
      </c>
      <c r="B161" s="102">
        <f t="shared" si="16"/>
        <v>48914</v>
      </c>
      <c r="C161" s="103">
        <f t="shared" si="22"/>
        <v>186755.89112808651</v>
      </c>
      <c r="D161" s="103">
        <f t="shared" si="17"/>
        <v>1244.5294817906613</v>
      </c>
      <c r="E161" s="104">
        <f t="shared" si="18"/>
        <v>0</v>
      </c>
      <c r="F161" s="103">
        <f t="shared" si="19"/>
        <v>1244.5294817906613</v>
      </c>
      <c r="G161" s="103">
        <f t="shared" si="20"/>
        <v>567.53937645134772</v>
      </c>
      <c r="H161" s="103">
        <f t="shared" si="23"/>
        <v>676.99010533931357</v>
      </c>
      <c r="I161" s="103">
        <f t="shared" si="21"/>
        <v>186188.35175163517</v>
      </c>
      <c r="J161" s="103">
        <f>SUM($H$18:$H161)</f>
        <v>115400.59712949056</v>
      </c>
    </row>
    <row r="162" spans="1:10" x14ac:dyDescent="0.2">
      <c r="A162" s="101">
        <f>IF(Values_Entered,A161+1,"")</f>
        <v>145</v>
      </c>
      <c r="B162" s="102">
        <f t="shared" si="16"/>
        <v>48945</v>
      </c>
      <c r="C162" s="103">
        <f t="shared" si="22"/>
        <v>186188.35175163517</v>
      </c>
      <c r="D162" s="103">
        <f t="shared" si="17"/>
        <v>1244.5294817906613</v>
      </c>
      <c r="E162" s="104">
        <f t="shared" si="18"/>
        <v>0</v>
      </c>
      <c r="F162" s="103">
        <f t="shared" si="19"/>
        <v>1244.5294817906613</v>
      </c>
      <c r="G162" s="103">
        <f t="shared" si="20"/>
        <v>569.59670669098386</v>
      </c>
      <c r="H162" s="103">
        <f t="shared" si="23"/>
        <v>674.93277509967743</v>
      </c>
      <c r="I162" s="103">
        <f t="shared" si="21"/>
        <v>185618.75504494418</v>
      </c>
      <c r="J162" s="103">
        <f>SUM($H$18:$H162)</f>
        <v>116075.52990459024</v>
      </c>
    </row>
    <row r="163" spans="1:10" x14ac:dyDescent="0.2">
      <c r="A163" s="101">
        <f>IF(Values_Entered,A162+1,"")</f>
        <v>146</v>
      </c>
      <c r="B163" s="102">
        <f t="shared" si="16"/>
        <v>48976</v>
      </c>
      <c r="C163" s="103">
        <f t="shared" si="22"/>
        <v>185618.75504494418</v>
      </c>
      <c r="D163" s="103">
        <f t="shared" si="17"/>
        <v>1244.5294817906613</v>
      </c>
      <c r="E163" s="104">
        <f t="shared" si="18"/>
        <v>0</v>
      </c>
      <c r="F163" s="103">
        <f t="shared" si="19"/>
        <v>1244.5294817906613</v>
      </c>
      <c r="G163" s="103">
        <f t="shared" si="20"/>
        <v>571.66149475273869</v>
      </c>
      <c r="H163" s="103">
        <f t="shared" si="23"/>
        <v>672.8679870379226</v>
      </c>
      <c r="I163" s="103">
        <f t="shared" si="21"/>
        <v>185047.09355019144</v>
      </c>
      <c r="J163" s="103">
        <f>SUM($H$18:$H163)</f>
        <v>116748.39789162816</v>
      </c>
    </row>
    <row r="164" spans="1:10" x14ac:dyDescent="0.2">
      <c r="A164" s="101">
        <f>IF(Values_Entered,A163+1,"")</f>
        <v>147</v>
      </c>
      <c r="B164" s="102">
        <f t="shared" si="16"/>
        <v>49004</v>
      </c>
      <c r="C164" s="103">
        <f t="shared" si="22"/>
        <v>185047.09355019144</v>
      </c>
      <c r="D164" s="103">
        <f t="shared" si="17"/>
        <v>1244.5294817906613</v>
      </c>
      <c r="E164" s="104">
        <f t="shared" si="18"/>
        <v>0</v>
      </c>
      <c r="F164" s="103">
        <f t="shared" si="19"/>
        <v>1244.5294817906613</v>
      </c>
      <c r="G164" s="103">
        <f t="shared" si="20"/>
        <v>573.73376767121738</v>
      </c>
      <c r="H164" s="103">
        <f t="shared" si="23"/>
        <v>670.79571411944391</v>
      </c>
      <c r="I164" s="103">
        <f t="shared" si="21"/>
        <v>184473.35978252022</v>
      </c>
      <c r="J164" s="103">
        <f>SUM($H$18:$H164)</f>
        <v>117419.19360574761</v>
      </c>
    </row>
    <row r="165" spans="1:10" x14ac:dyDescent="0.2">
      <c r="A165" s="101">
        <f>IF(Values_Entered,A164+1,"")</f>
        <v>148</v>
      </c>
      <c r="B165" s="102">
        <f t="shared" si="16"/>
        <v>49035</v>
      </c>
      <c r="C165" s="103">
        <f t="shared" si="22"/>
        <v>184473.35978252022</v>
      </c>
      <c r="D165" s="103">
        <f t="shared" si="17"/>
        <v>1244.5294817906613</v>
      </c>
      <c r="E165" s="104">
        <f t="shared" si="18"/>
        <v>0</v>
      </c>
      <c r="F165" s="103">
        <f t="shared" si="19"/>
        <v>1244.5294817906613</v>
      </c>
      <c r="G165" s="103">
        <f t="shared" si="20"/>
        <v>575.81355257902555</v>
      </c>
      <c r="H165" s="103">
        <f t="shared" si="23"/>
        <v>668.71592921163574</v>
      </c>
      <c r="I165" s="103">
        <f t="shared" si="21"/>
        <v>183897.54622994119</v>
      </c>
      <c r="J165" s="103">
        <f>SUM($H$18:$H165)</f>
        <v>118087.90953495925</v>
      </c>
    </row>
    <row r="166" spans="1:10" x14ac:dyDescent="0.2">
      <c r="A166" s="101">
        <f>IF(Values_Entered,A165+1,"")</f>
        <v>149</v>
      </c>
      <c r="B166" s="102">
        <f t="shared" si="16"/>
        <v>49065</v>
      </c>
      <c r="C166" s="103">
        <f t="shared" si="22"/>
        <v>183897.54622994119</v>
      </c>
      <c r="D166" s="103">
        <f t="shared" si="17"/>
        <v>1244.5294817906613</v>
      </c>
      <c r="E166" s="104">
        <f t="shared" si="18"/>
        <v>0</v>
      </c>
      <c r="F166" s="103">
        <f t="shared" si="19"/>
        <v>1244.5294817906613</v>
      </c>
      <c r="G166" s="103">
        <f t="shared" si="20"/>
        <v>577.90087670712455</v>
      </c>
      <c r="H166" s="103">
        <f t="shared" si="23"/>
        <v>666.62860508353674</v>
      </c>
      <c r="I166" s="103">
        <f t="shared" si="21"/>
        <v>183319.64535323405</v>
      </c>
      <c r="J166" s="103">
        <f>SUM($H$18:$H166)</f>
        <v>118754.53814004279</v>
      </c>
    </row>
    <row r="167" spans="1:10" x14ac:dyDescent="0.2">
      <c r="A167" s="101">
        <f>IF(Values_Entered,A166+1,"")</f>
        <v>150</v>
      </c>
      <c r="B167" s="102">
        <f t="shared" si="16"/>
        <v>49096</v>
      </c>
      <c r="C167" s="103">
        <f t="shared" si="22"/>
        <v>183319.64535323405</v>
      </c>
      <c r="D167" s="103">
        <f t="shared" si="17"/>
        <v>1244.5294817906613</v>
      </c>
      <c r="E167" s="104">
        <f t="shared" si="18"/>
        <v>0</v>
      </c>
      <c r="F167" s="103">
        <f t="shared" si="19"/>
        <v>1244.5294817906613</v>
      </c>
      <c r="G167" s="103">
        <f t="shared" si="20"/>
        <v>579.99576738518783</v>
      </c>
      <c r="H167" s="103">
        <f t="shared" si="23"/>
        <v>664.53371440547346</v>
      </c>
      <c r="I167" s="103">
        <f t="shared" si="21"/>
        <v>182739.64958584888</v>
      </c>
      <c r="J167" s="103">
        <f>SUM($H$18:$H167)</f>
        <v>119419.07185444827</v>
      </c>
    </row>
    <row r="168" spans="1:10" x14ac:dyDescent="0.2">
      <c r="A168" s="101">
        <f>IF(Values_Entered,A167+1,"")</f>
        <v>151</v>
      </c>
      <c r="B168" s="102">
        <f t="shared" si="16"/>
        <v>49126</v>
      </c>
      <c r="C168" s="103">
        <f t="shared" si="22"/>
        <v>182739.64958584888</v>
      </c>
      <c r="D168" s="103">
        <f t="shared" si="17"/>
        <v>1244.5294817906613</v>
      </c>
      <c r="E168" s="104">
        <f t="shared" si="18"/>
        <v>0</v>
      </c>
      <c r="F168" s="103">
        <f t="shared" si="19"/>
        <v>1244.5294817906613</v>
      </c>
      <c r="G168" s="103">
        <f t="shared" si="20"/>
        <v>582.0982520419592</v>
      </c>
      <c r="H168" s="103">
        <f t="shared" si="23"/>
        <v>662.43122974870209</v>
      </c>
      <c r="I168" s="103">
        <f t="shared" si="21"/>
        <v>182157.55133380691</v>
      </c>
      <c r="J168" s="103">
        <f>SUM($H$18:$H168)</f>
        <v>120081.50308419697</v>
      </c>
    </row>
    <row r="169" spans="1:10" x14ac:dyDescent="0.2">
      <c r="A169" s="101">
        <f>IF(Values_Entered,A168+1,"")</f>
        <v>152</v>
      </c>
      <c r="B169" s="102">
        <f t="shared" si="16"/>
        <v>49157</v>
      </c>
      <c r="C169" s="103">
        <f t="shared" si="22"/>
        <v>182157.55133380691</v>
      </c>
      <c r="D169" s="103">
        <f t="shared" si="17"/>
        <v>1244.5294817906613</v>
      </c>
      <c r="E169" s="104">
        <f t="shared" si="18"/>
        <v>0</v>
      </c>
      <c r="F169" s="103">
        <f t="shared" si="19"/>
        <v>1244.5294817906613</v>
      </c>
      <c r="G169" s="103">
        <f t="shared" si="20"/>
        <v>584.20835820561126</v>
      </c>
      <c r="H169" s="103">
        <f t="shared" si="23"/>
        <v>660.32112358505003</v>
      </c>
      <c r="I169" s="103">
        <f t="shared" si="21"/>
        <v>181573.34297560129</v>
      </c>
      <c r="J169" s="103">
        <f>SUM($H$18:$H169)</f>
        <v>120741.82420778202</v>
      </c>
    </row>
    <row r="170" spans="1:10" x14ac:dyDescent="0.2">
      <c r="A170" s="101">
        <f>IF(Values_Entered,A169+1,"")</f>
        <v>153</v>
      </c>
      <c r="B170" s="102">
        <f t="shared" si="16"/>
        <v>49188</v>
      </c>
      <c r="C170" s="103">
        <f t="shared" si="22"/>
        <v>181573.34297560129</v>
      </c>
      <c r="D170" s="103">
        <f t="shared" si="17"/>
        <v>1244.5294817906613</v>
      </c>
      <c r="E170" s="104">
        <f t="shared" si="18"/>
        <v>0</v>
      </c>
      <c r="F170" s="103">
        <f t="shared" si="19"/>
        <v>1244.5294817906613</v>
      </c>
      <c r="G170" s="103">
        <f t="shared" si="20"/>
        <v>586.32611350410673</v>
      </c>
      <c r="H170" s="103">
        <f t="shared" si="23"/>
        <v>658.20336828655456</v>
      </c>
      <c r="I170" s="103">
        <f t="shared" si="21"/>
        <v>180987.0168620972</v>
      </c>
      <c r="J170" s="103">
        <f>SUM($H$18:$H170)</f>
        <v>121400.02757606858</v>
      </c>
    </row>
    <row r="171" spans="1:10" x14ac:dyDescent="0.2">
      <c r="A171" s="101">
        <f>IF(Values_Entered,A170+1,"")</f>
        <v>154</v>
      </c>
      <c r="B171" s="102">
        <f t="shared" si="16"/>
        <v>49218</v>
      </c>
      <c r="C171" s="103">
        <f t="shared" si="22"/>
        <v>180987.0168620972</v>
      </c>
      <c r="D171" s="103">
        <f t="shared" si="17"/>
        <v>1244.5294817906613</v>
      </c>
      <c r="E171" s="104">
        <f t="shared" si="18"/>
        <v>0</v>
      </c>
      <c r="F171" s="103">
        <f t="shared" si="19"/>
        <v>1244.5294817906613</v>
      </c>
      <c r="G171" s="103">
        <f t="shared" si="20"/>
        <v>588.45154566555902</v>
      </c>
      <c r="H171" s="103">
        <f t="shared" si="23"/>
        <v>656.07793612510227</v>
      </c>
      <c r="I171" s="103">
        <f t="shared" si="21"/>
        <v>180398.56531643163</v>
      </c>
      <c r="J171" s="103">
        <f>SUM($H$18:$H171)</f>
        <v>122056.10551219368</v>
      </c>
    </row>
    <row r="172" spans="1:10" x14ac:dyDescent="0.2">
      <c r="A172" s="101">
        <f>IF(Values_Entered,A171+1,"")</f>
        <v>155</v>
      </c>
      <c r="B172" s="102">
        <f t="shared" si="16"/>
        <v>49249</v>
      </c>
      <c r="C172" s="103">
        <f t="shared" si="22"/>
        <v>180398.56531643163</v>
      </c>
      <c r="D172" s="103">
        <f t="shared" si="17"/>
        <v>1244.5294817906613</v>
      </c>
      <c r="E172" s="104">
        <f t="shared" si="18"/>
        <v>0</v>
      </c>
      <c r="F172" s="103">
        <f t="shared" si="19"/>
        <v>1244.5294817906613</v>
      </c>
      <c r="G172" s="103">
        <f t="shared" si="20"/>
        <v>590.58468251859665</v>
      </c>
      <c r="H172" s="103">
        <f t="shared" si="23"/>
        <v>653.94479927206464</v>
      </c>
      <c r="I172" s="103">
        <f t="shared" si="21"/>
        <v>179807.98063391304</v>
      </c>
      <c r="J172" s="103">
        <f>SUM($H$18:$H172)</f>
        <v>122710.05031146575</v>
      </c>
    </row>
    <row r="173" spans="1:10" x14ac:dyDescent="0.2">
      <c r="A173" s="101">
        <f>IF(Values_Entered,A172+1,"")</f>
        <v>156</v>
      </c>
      <c r="B173" s="102">
        <f t="shared" si="16"/>
        <v>49279</v>
      </c>
      <c r="C173" s="103">
        <f t="shared" si="22"/>
        <v>179807.98063391304</v>
      </c>
      <c r="D173" s="103">
        <f t="shared" si="17"/>
        <v>1244.5294817906613</v>
      </c>
      <c r="E173" s="104">
        <f t="shared" si="18"/>
        <v>0</v>
      </c>
      <c r="F173" s="103">
        <f t="shared" si="19"/>
        <v>1244.5294817906613</v>
      </c>
      <c r="G173" s="103">
        <f t="shared" si="20"/>
        <v>592.72555199272654</v>
      </c>
      <c r="H173" s="103">
        <f t="shared" si="23"/>
        <v>651.80392979793476</v>
      </c>
      <c r="I173" s="103">
        <f t="shared" si="21"/>
        <v>179215.25508192033</v>
      </c>
      <c r="J173" s="103">
        <f>SUM($H$18:$H173)</f>
        <v>123361.85424126369</v>
      </c>
    </row>
    <row r="174" spans="1:10" x14ac:dyDescent="0.2">
      <c r="A174" s="101">
        <f>IF(Values_Entered,A173+1,"")</f>
        <v>157</v>
      </c>
      <c r="B174" s="102">
        <f t="shared" si="16"/>
        <v>49310</v>
      </c>
      <c r="C174" s="103">
        <f t="shared" si="22"/>
        <v>179215.25508192033</v>
      </c>
      <c r="D174" s="103">
        <f t="shared" si="17"/>
        <v>1244.5294817906613</v>
      </c>
      <c r="E174" s="104">
        <f t="shared" si="18"/>
        <v>0</v>
      </c>
      <c r="F174" s="103">
        <f t="shared" si="19"/>
        <v>1244.5294817906613</v>
      </c>
      <c r="G174" s="103">
        <f t="shared" si="20"/>
        <v>594.87418211870011</v>
      </c>
      <c r="H174" s="103">
        <f t="shared" si="23"/>
        <v>649.65529967196119</v>
      </c>
      <c r="I174" s="103">
        <f t="shared" si="21"/>
        <v>178620.38089980162</v>
      </c>
      <c r="J174" s="103">
        <f>SUM($H$18:$H174)</f>
        <v>124011.50954093564</v>
      </c>
    </row>
    <row r="175" spans="1:10" x14ac:dyDescent="0.2">
      <c r="A175" s="101">
        <f>IF(Values_Entered,A174+1,"")</f>
        <v>158</v>
      </c>
      <c r="B175" s="102">
        <f t="shared" si="16"/>
        <v>49341</v>
      </c>
      <c r="C175" s="103">
        <f t="shared" si="22"/>
        <v>178620.38089980162</v>
      </c>
      <c r="D175" s="103">
        <f t="shared" si="17"/>
        <v>1244.5294817906613</v>
      </c>
      <c r="E175" s="104">
        <f t="shared" si="18"/>
        <v>0</v>
      </c>
      <c r="F175" s="103">
        <f t="shared" si="19"/>
        <v>1244.5294817906613</v>
      </c>
      <c r="G175" s="103">
        <f t="shared" si="20"/>
        <v>597.03060102888048</v>
      </c>
      <c r="H175" s="103">
        <f t="shared" si="23"/>
        <v>647.49888076178081</v>
      </c>
      <c r="I175" s="103">
        <f t="shared" si="21"/>
        <v>178023.35029877274</v>
      </c>
      <c r="J175" s="103">
        <f>SUM($H$18:$H175)</f>
        <v>124659.00842169742</v>
      </c>
    </row>
    <row r="176" spans="1:10" x14ac:dyDescent="0.2">
      <c r="A176" s="101">
        <f>IF(Values_Entered,A175+1,"")</f>
        <v>159</v>
      </c>
      <c r="B176" s="102">
        <f t="shared" si="16"/>
        <v>49369</v>
      </c>
      <c r="C176" s="103">
        <f t="shared" si="22"/>
        <v>178023.35029877274</v>
      </c>
      <c r="D176" s="103">
        <f t="shared" si="17"/>
        <v>1244.5294817906613</v>
      </c>
      <c r="E176" s="104">
        <f t="shared" si="18"/>
        <v>0</v>
      </c>
      <c r="F176" s="103">
        <f t="shared" si="19"/>
        <v>1244.5294817906613</v>
      </c>
      <c r="G176" s="103">
        <f t="shared" si="20"/>
        <v>599.19483695761016</v>
      </c>
      <c r="H176" s="103">
        <f t="shared" si="23"/>
        <v>645.33464483305113</v>
      </c>
      <c r="I176" s="103">
        <f t="shared" si="21"/>
        <v>177424.15546181513</v>
      </c>
      <c r="J176" s="103">
        <f>SUM($H$18:$H176)</f>
        <v>125304.34306653048</v>
      </c>
    </row>
    <row r="177" spans="1:10" x14ac:dyDescent="0.2">
      <c r="A177" s="101">
        <f>IF(Values_Entered,A176+1,"")</f>
        <v>160</v>
      </c>
      <c r="B177" s="102">
        <f t="shared" si="16"/>
        <v>49400</v>
      </c>
      <c r="C177" s="103">
        <f t="shared" si="22"/>
        <v>177424.15546181513</v>
      </c>
      <c r="D177" s="103">
        <f t="shared" si="17"/>
        <v>1244.5294817906613</v>
      </c>
      <c r="E177" s="104">
        <f t="shared" si="18"/>
        <v>0</v>
      </c>
      <c r="F177" s="103">
        <f t="shared" si="19"/>
        <v>1244.5294817906613</v>
      </c>
      <c r="G177" s="103">
        <f t="shared" si="20"/>
        <v>601.36691824158152</v>
      </c>
      <c r="H177" s="103">
        <f t="shared" si="23"/>
        <v>643.16256354907978</v>
      </c>
      <c r="I177" s="103">
        <f t="shared" si="21"/>
        <v>176822.78854357355</v>
      </c>
      <c r="J177" s="103">
        <f>SUM($H$18:$H177)</f>
        <v>125947.50563007955</v>
      </c>
    </row>
    <row r="178" spans="1:10" x14ac:dyDescent="0.2">
      <c r="A178" s="101">
        <f>IF(Values_Entered,A177+1,"")</f>
        <v>161</v>
      </c>
      <c r="B178" s="102">
        <f t="shared" si="16"/>
        <v>49430</v>
      </c>
      <c r="C178" s="103">
        <f t="shared" si="22"/>
        <v>176822.78854357355</v>
      </c>
      <c r="D178" s="103">
        <f t="shared" si="17"/>
        <v>1244.5294817906613</v>
      </c>
      <c r="E178" s="104">
        <f t="shared" si="18"/>
        <v>0</v>
      </c>
      <c r="F178" s="103">
        <f t="shared" si="19"/>
        <v>1244.5294817906613</v>
      </c>
      <c r="G178" s="103">
        <f t="shared" si="20"/>
        <v>603.54687332020728</v>
      </c>
      <c r="H178" s="103">
        <f t="shared" si="23"/>
        <v>640.98260847045401</v>
      </c>
      <c r="I178" s="103">
        <f t="shared" si="21"/>
        <v>176219.24167025334</v>
      </c>
      <c r="J178" s="103">
        <f>SUM($H$18:$H178)</f>
        <v>126588.48823855001</v>
      </c>
    </row>
    <row r="179" spans="1:10" x14ac:dyDescent="0.2">
      <c r="A179" s="101">
        <f>IF(Values_Entered,A178+1,"")</f>
        <v>162</v>
      </c>
      <c r="B179" s="102">
        <f t="shared" si="16"/>
        <v>49461</v>
      </c>
      <c r="C179" s="103">
        <f t="shared" si="22"/>
        <v>176219.24167025334</v>
      </c>
      <c r="D179" s="103">
        <f t="shared" si="17"/>
        <v>1244.5294817906613</v>
      </c>
      <c r="E179" s="104">
        <f t="shared" si="18"/>
        <v>0</v>
      </c>
      <c r="F179" s="103">
        <f t="shared" si="19"/>
        <v>1244.5294817906613</v>
      </c>
      <c r="G179" s="103">
        <f t="shared" si="20"/>
        <v>605.73473073599303</v>
      </c>
      <c r="H179" s="103">
        <f t="shared" si="23"/>
        <v>638.79475105466827</v>
      </c>
      <c r="I179" s="103">
        <f t="shared" si="21"/>
        <v>175613.50693951733</v>
      </c>
      <c r="J179" s="103">
        <f>SUM($H$18:$H179)</f>
        <v>127227.28298960468</v>
      </c>
    </row>
    <row r="180" spans="1:10" x14ac:dyDescent="0.2">
      <c r="A180" s="101">
        <f>IF(Values_Entered,A179+1,"")</f>
        <v>163</v>
      </c>
      <c r="B180" s="102">
        <f t="shared" si="16"/>
        <v>49491</v>
      </c>
      <c r="C180" s="103">
        <f t="shared" si="22"/>
        <v>175613.50693951733</v>
      </c>
      <c r="D180" s="103">
        <f t="shared" si="17"/>
        <v>1244.5294817906613</v>
      </c>
      <c r="E180" s="104">
        <f t="shared" si="18"/>
        <v>0</v>
      </c>
      <c r="F180" s="103">
        <f t="shared" si="19"/>
        <v>1244.5294817906613</v>
      </c>
      <c r="G180" s="103">
        <f t="shared" si="20"/>
        <v>607.93051913491104</v>
      </c>
      <c r="H180" s="103">
        <f t="shared" si="23"/>
        <v>636.59896265575026</v>
      </c>
      <c r="I180" s="103">
        <f t="shared" si="21"/>
        <v>175005.57642038242</v>
      </c>
      <c r="J180" s="103">
        <f>SUM($H$18:$H180)</f>
        <v>127863.88195226043</v>
      </c>
    </row>
    <row r="181" spans="1:10" x14ac:dyDescent="0.2">
      <c r="A181" s="101">
        <f>IF(Values_Entered,A180+1,"")</f>
        <v>164</v>
      </c>
      <c r="B181" s="102">
        <f t="shared" si="16"/>
        <v>49522</v>
      </c>
      <c r="C181" s="103">
        <f t="shared" si="22"/>
        <v>175005.57642038242</v>
      </c>
      <c r="D181" s="103">
        <f t="shared" si="17"/>
        <v>1244.5294817906613</v>
      </c>
      <c r="E181" s="104">
        <f t="shared" si="18"/>
        <v>0</v>
      </c>
      <c r="F181" s="103">
        <f t="shared" si="19"/>
        <v>1244.5294817906613</v>
      </c>
      <c r="G181" s="103">
        <f t="shared" si="20"/>
        <v>610.13426726677505</v>
      </c>
      <c r="H181" s="103">
        <f t="shared" si="23"/>
        <v>634.39521452388624</v>
      </c>
      <c r="I181" s="103">
        <f t="shared" si="21"/>
        <v>174395.44215311564</v>
      </c>
      <c r="J181" s="103">
        <f>SUM($H$18:$H181)</f>
        <v>128498.27716678432</v>
      </c>
    </row>
    <row r="182" spans="1:10" x14ac:dyDescent="0.2">
      <c r="A182" s="101">
        <f>IF(Values_Entered,A181+1,"")</f>
        <v>165</v>
      </c>
      <c r="B182" s="102">
        <f t="shared" si="16"/>
        <v>49553</v>
      </c>
      <c r="C182" s="103">
        <f t="shared" si="22"/>
        <v>174395.44215311564</v>
      </c>
      <c r="D182" s="103">
        <f t="shared" si="17"/>
        <v>1244.5294817906613</v>
      </c>
      <c r="E182" s="104">
        <f t="shared" si="18"/>
        <v>0</v>
      </c>
      <c r="F182" s="103">
        <f t="shared" si="19"/>
        <v>1244.5294817906613</v>
      </c>
      <c r="G182" s="103">
        <f t="shared" si="20"/>
        <v>612.34600398561713</v>
      </c>
      <c r="H182" s="103">
        <f t="shared" si="23"/>
        <v>632.18347780504416</v>
      </c>
      <c r="I182" s="103">
        <f t="shared" si="21"/>
        <v>173783.09614913003</v>
      </c>
      <c r="J182" s="103">
        <f>SUM($H$18:$H182)</f>
        <v>129130.46064458936</v>
      </c>
    </row>
    <row r="183" spans="1:10" x14ac:dyDescent="0.2">
      <c r="A183" s="101">
        <f>IF(Values_Entered,A182+1,"")</f>
        <v>166</v>
      </c>
      <c r="B183" s="102">
        <f t="shared" si="16"/>
        <v>49583</v>
      </c>
      <c r="C183" s="103">
        <f t="shared" si="22"/>
        <v>173783.09614913003</v>
      </c>
      <c r="D183" s="103">
        <f t="shared" si="17"/>
        <v>1244.5294817906613</v>
      </c>
      <c r="E183" s="104">
        <f t="shared" si="18"/>
        <v>0</v>
      </c>
      <c r="F183" s="103">
        <f t="shared" si="19"/>
        <v>1244.5294817906613</v>
      </c>
      <c r="G183" s="103">
        <f t="shared" si="20"/>
        <v>614.56575825006496</v>
      </c>
      <c r="H183" s="103">
        <f t="shared" si="23"/>
        <v>629.96372354059633</v>
      </c>
      <c r="I183" s="103">
        <f t="shared" si="21"/>
        <v>173168.53039087995</v>
      </c>
      <c r="J183" s="103">
        <f>SUM($H$18:$H183)</f>
        <v>129760.42436812996</v>
      </c>
    </row>
    <row r="184" spans="1:10" x14ac:dyDescent="0.2">
      <c r="A184" s="101">
        <f>IF(Values_Entered,A183+1,"")</f>
        <v>167</v>
      </c>
      <c r="B184" s="102">
        <f t="shared" si="16"/>
        <v>49614</v>
      </c>
      <c r="C184" s="103">
        <f t="shared" si="22"/>
        <v>173168.53039087995</v>
      </c>
      <c r="D184" s="103">
        <f t="shared" si="17"/>
        <v>1244.5294817906613</v>
      </c>
      <c r="E184" s="104">
        <f t="shared" si="18"/>
        <v>0</v>
      </c>
      <c r="F184" s="103">
        <f t="shared" si="19"/>
        <v>1244.5294817906613</v>
      </c>
      <c r="G184" s="103">
        <f t="shared" si="20"/>
        <v>616.79355912372148</v>
      </c>
      <c r="H184" s="103">
        <f t="shared" si="23"/>
        <v>627.73592266693981</v>
      </c>
      <c r="I184" s="103">
        <f t="shared" si="21"/>
        <v>172551.73683175622</v>
      </c>
      <c r="J184" s="103">
        <f>SUM($H$18:$H184)</f>
        <v>130388.16029079689</v>
      </c>
    </row>
    <row r="185" spans="1:10" x14ac:dyDescent="0.2">
      <c r="A185" s="101">
        <f>IF(Values_Entered,A184+1,"")</f>
        <v>168</v>
      </c>
      <c r="B185" s="102">
        <f t="shared" si="16"/>
        <v>49644</v>
      </c>
      <c r="C185" s="103">
        <f t="shared" si="22"/>
        <v>172551.73683175622</v>
      </c>
      <c r="D185" s="103">
        <f t="shared" si="17"/>
        <v>1244.5294817906613</v>
      </c>
      <c r="E185" s="104">
        <f t="shared" si="18"/>
        <v>0</v>
      </c>
      <c r="F185" s="103">
        <f t="shared" si="19"/>
        <v>1244.5294817906613</v>
      </c>
      <c r="G185" s="103">
        <f t="shared" si="20"/>
        <v>619.02943577554504</v>
      </c>
      <c r="H185" s="103">
        <f t="shared" si="23"/>
        <v>625.50004601511625</v>
      </c>
      <c r="I185" s="103">
        <f t="shared" si="21"/>
        <v>171932.70739598069</v>
      </c>
      <c r="J185" s="103">
        <f>SUM($H$18:$H185)</f>
        <v>131013.66033681201</v>
      </c>
    </row>
    <row r="186" spans="1:10" x14ac:dyDescent="0.2">
      <c r="A186" s="101">
        <f>IF(Values_Entered,A185+1,"")</f>
        <v>169</v>
      </c>
      <c r="B186" s="102">
        <f t="shared" si="16"/>
        <v>49675</v>
      </c>
      <c r="C186" s="103">
        <f t="shared" si="22"/>
        <v>171932.70739598069</v>
      </c>
      <c r="D186" s="103">
        <f t="shared" si="17"/>
        <v>1244.5294817906613</v>
      </c>
      <c r="E186" s="104">
        <f t="shared" si="18"/>
        <v>0</v>
      </c>
      <c r="F186" s="103">
        <f t="shared" si="19"/>
        <v>1244.5294817906613</v>
      </c>
      <c r="G186" s="103">
        <f t="shared" si="20"/>
        <v>621.27341748023139</v>
      </c>
      <c r="H186" s="103">
        <f t="shared" si="23"/>
        <v>623.25606431042991</v>
      </c>
      <c r="I186" s="103">
        <f t="shared" si="21"/>
        <v>171311.43397850046</v>
      </c>
      <c r="J186" s="103">
        <f>SUM($H$18:$H186)</f>
        <v>131636.91640112243</v>
      </c>
    </row>
    <row r="187" spans="1:10" x14ac:dyDescent="0.2">
      <c r="A187" s="101">
        <f>IF(Values_Entered,A186+1,"")</f>
        <v>170</v>
      </c>
      <c r="B187" s="102">
        <f t="shared" si="16"/>
        <v>49706</v>
      </c>
      <c r="C187" s="103">
        <f t="shared" si="22"/>
        <v>171311.43397850046</v>
      </c>
      <c r="D187" s="103">
        <f t="shared" si="17"/>
        <v>1244.5294817906613</v>
      </c>
      <c r="E187" s="104">
        <f t="shared" si="18"/>
        <v>0</v>
      </c>
      <c r="F187" s="103">
        <f t="shared" si="19"/>
        <v>1244.5294817906613</v>
      </c>
      <c r="G187" s="103">
        <f t="shared" si="20"/>
        <v>623.52553361859725</v>
      </c>
      <c r="H187" s="103">
        <f t="shared" si="23"/>
        <v>621.00394817206404</v>
      </c>
      <c r="I187" s="103">
        <f t="shared" si="21"/>
        <v>170687.90844488185</v>
      </c>
      <c r="J187" s="103">
        <f>SUM($H$18:$H187)</f>
        <v>132257.92034929449</v>
      </c>
    </row>
    <row r="188" spans="1:10" x14ac:dyDescent="0.2">
      <c r="A188" s="101">
        <f>IF(Values_Entered,A187+1,"")</f>
        <v>171</v>
      </c>
      <c r="B188" s="102">
        <f t="shared" si="16"/>
        <v>49735</v>
      </c>
      <c r="C188" s="103">
        <f t="shared" si="22"/>
        <v>170687.90844488185</v>
      </c>
      <c r="D188" s="103">
        <f t="shared" si="17"/>
        <v>1244.5294817906613</v>
      </c>
      <c r="E188" s="104">
        <f t="shared" si="18"/>
        <v>0</v>
      </c>
      <c r="F188" s="103">
        <f t="shared" si="19"/>
        <v>1244.5294817906613</v>
      </c>
      <c r="G188" s="103">
        <f t="shared" si="20"/>
        <v>625.78581367796471</v>
      </c>
      <c r="H188" s="103">
        <f t="shared" si="23"/>
        <v>618.74366811269658</v>
      </c>
      <c r="I188" s="103">
        <f t="shared" si="21"/>
        <v>170062.12263120388</v>
      </c>
      <c r="J188" s="103">
        <f>SUM($H$18:$H188)</f>
        <v>132876.66401740719</v>
      </c>
    </row>
    <row r="189" spans="1:10" x14ac:dyDescent="0.2">
      <c r="A189" s="101">
        <f>IF(Values_Entered,A188+1,"")</f>
        <v>172</v>
      </c>
      <c r="B189" s="102">
        <f t="shared" si="16"/>
        <v>49766</v>
      </c>
      <c r="C189" s="103">
        <f t="shared" si="22"/>
        <v>170062.12263120388</v>
      </c>
      <c r="D189" s="103">
        <f t="shared" si="17"/>
        <v>1244.5294817906613</v>
      </c>
      <c r="E189" s="104">
        <f t="shared" si="18"/>
        <v>0</v>
      </c>
      <c r="F189" s="103">
        <f t="shared" si="19"/>
        <v>1244.5294817906613</v>
      </c>
      <c r="G189" s="103">
        <f t="shared" si="20"/>
        <v>628.05428725254728</v>
      </c>
      <c r="H189" s="103">
        <f t="shared" si="23"/>
        <v>616.47519453811401</v>
      </c>
      <c r="I189" s="103">
        <f t="shared" si="21"/>
        <v>169434.06834395134</v>
      </c>
      <c r="J189" s="103">
        <f>SUM($H$18:$H189)</f>
        <v>133493.13921194529</v>
      </c>
    </row>
    <row r="190" spans="1:10" x14ac:dyDescent="0.2">
      <c r="A190" s="101">
        <f>IF(Values_Entered,A189+1,"")</f>
        <v>173</v>
      </c>
      <c r="B190" s="102">
        <f t="shared" si="16"/>
        <v>49796</v>
      </c>
      <c r="C190" s="103">
        <f t="shared" si="22"/>
        <v>169434.06834395134</v>
      </c>
      <c r="D190" s="103">
        <f t="shared" si="17"/>
        <v>1244.5294817906613</v>
      </c>
      <c r="E190" s="104">
        <f t="shared" si="18"/>
        <v>0</v>
      </c>
      <c r="F190" s="103">
        <f t="shared" si="19"/>
        <v>1244.5294817906613</v>
      </c>
      <c r="G190" s="103">
        <f t="shared" si="20"/>
        <v>630.3309840438377</v>
      </c>
      <c r="H190" s="103">
        <f t="shared" si="23"/>
        <v>614.19849774682359</v>
      </c>
      <c r="I190" s="103">
        <f t="shared" si="21"/>
        <v>168803.73735990751</v>
      </c>
      <c r="J190" s="103">
        <f>SUM($H$18:$H190)</f>
        <v>134107.3377096921</v>
      </c>
    </row>
    <row r="191" spans="1:10" x14ac:dyDescent="0.2">
      <c r="A191" s="101">
        <f>IF(Values_Entered,A190+1,"")</f>
        <v>174</v>
      </c>
      <c r="B191" s="102">
        <f t="shared" si="16"/>
        <v>49827</v>
      </c>
      <c r="C191" s="103">
        <f t="shared" si="22"/>
        <v>168803.73735990751</v>
      </c>
      <c r="D191" s="103">
        <f t="shared" si="17"/>
        <v>1244.5294817906613</v>
      </c>
      <c r="E191" s="104">
        <f t="shared" si="18"/>
        <v>0</v>
      </c>
      <c r="F191" s="103">
        <f t="shared" si="19"/>
        <v>1244.5294817906613</v>
      </c>
      <c r="G191" s="103">
        <f t="shared" si="20"/>
        <v>632.61593386099662</v>
      </c>
      <c r="H191" s="103">
        <f t="shared" si="23"/>
        <v>611.91354792966467</v>
      </c>
      <c r="I191" s="103">
        <f t="shared" si="21"/>
        <v>168171.12142604651</v>
      </c>
      <c r="J191" s="103">
        <f>SUM($H$18:$H191)</f>
        <v>134719.25125762177</v>
      </c>
    </row>
    <row r="192" spans="1:10" x14ac:dyDescent="0.2">
      <c r="A192" s="101">
        <f>IF(Values_Entered,A191+1,"")</f>
        <v>175</v>
      </c>
      <c r="B192" s="102">
        <f t="shared" si="16"/>
        <v>49857</v>
      </c>
      <c r="C192" s="103">
        <f t="shared" si="22"/>
        <v>168171.12142604651</v>
      </c>
      <c r="D192" s="103">
        <f t="shared" si="17"/>
        <v>1244.5294817906613</v>
      </c>
      <c r="E192" s="104">
        <f t="shared" si="18"/>
        <v>0</v>
      </c>
      <c r="F192" s="103">
        <f t="shared" si="19"/>
        <v>1244.5294817906613</v>
      </c>
      <c r="G192" s="103">
        <f t="shared" si="20"/>
        <v>634.90916662124278</v>
      </c>
      <c r="H192" s="103">
        <f t="shared" si="23"/>
        <v>609.62031516941852</v>
      </c>
      <c r="I192" s="103">
        <f t="shared" si="21"/>
        <v>167536.21225942526</v>
      </c>
      <c r="J192" s="103">
        <f>SUM($H$18:$H192)</f>
        <v>135328.87157279119</v>
      </c>
    </row>
    <row r="193" spans="1:10" x14ac:dyDescent="0.2">
      <c r="A193" s="101">
        <f>IF(Values_Entered,A192+1,"")</f>
        <v>176</v>
      </c>
      <c r="B193" s="102">
        <f t="shared" si="16"/>
        <v>49888</v>
      </c>
      <c r="C193" s="103">
        <f t="shared" si="22"/>
        <v>167536.21225942526</v>
      </c>
      <c r="D193" s="103">
        <f t="shared" si="17"/>
        <v>1244.5294817906613</v>
      </c>
      <c r="E193" s="104">
        <f t="shared" si="18"/>
        <v>0</v>
      </c>
      <c r="F193" s="103">
        <f t="shared" si="19"/>
        <v>1244.5294817906613</v>
      </c>
      <c r="G193" s="103">
        <f t="shared" si="20"/>
        <v>637.21071235024476</v>
      </c>
      <c r="H193" s="103">
        <f t="shared" si="23"/>
        <v>607.31876944041653</v>
      </c>
      <c r="I193" s="103">
        <f t="shared" si="21"/>
        <v>166899.00154707502</v>
      </c>
      <c r="J193" s="103">
        <f>SUM($H$18:$H193)</f>
        <v>135936.1903422316</v>
      </c>
    </row>
    <row r="194" spans="1:10" x14ac:dyDescent="0.2">
      <c r="A194" s="101">
        <f>IF(Values_Entered,A193+1,"")</f>
        <v>177</v>
      </c>
      <c r="B194" s="102">
        <f t="shared" si="16"/>
        <v>49919</v>
      </c>
      <c r="C194" s="103">
        <f t="shared" si="22"/>
        <v>166899.00154707502</v>
      </c>
      <c r="D194" s="103">
        <f t="shared" si="17"/>
        <v>1244.5294817906613</v>
      </c>
      <c r="E194" s="104">
        <f t="shared" si="18"/>
        <v>0</v>
      </c>
      <c r="F194" s="103">
        <f t="shared" si="19"/>
        <v>1244.5294817906613</v>
      </c>
      <c r="G194" s="103">
        <f t="shared" si="20"/>
        <v>639.52060118251438</v>
      </c>
      <c r="H194" s="103">
        <f t="shared" si="23"/>
        <v>605.00888060814691</v>
      </c>
      <c r="I194" s="103">
        <f t="shared" si="21"/>
        <v>166259.48094589252</v>
      </c>
      <c r="J194" s="103">
        <f>SUM($H$18:$H194)</f>
        <v>136541.19922283973</v>
      </c>
    </row>
    <row r="195" spans="1:10" x14ac:dyDescent="0.2">
      <c r="A195" s="101">
        <f>IF(Values_Entered,A194+1,"")</f>
        <v>178</v>
      </c>
      <c r="B195" s="102">
        <f t="shared" si="16"/>
        <v>49949</v>
      </c>
      <c r="C195" s="103">
        <f t="shared" si="22"/>
        <v>166259.48094589252</v>
      </c>
      <c r="D195" s="103">
        <f t="shared" si="17"/>
        <v>1244.5294817906613</v>
      </c>
      <c r="E195" s="104">
        <f t="shared" si="18"/>
        <v>0</v>
      </c>
      <c r="F195" s="103">
        <f t="shared" si="19"/>
        <v>1244.5294817906613</v>
      </c>
      <c r="G195" s="103">
        <f t="shared" si="20"/>
        <v>641.83886336180092</v>
      </c>
      <c r="H195" s="103">
        <f t="shared" si="23"/>
        <v>602.69061842886038</v>
      </c>
      <c r="I195" s="103">
        <f t="shared" si="21"/>
        <v>165617.64208253071</v>
      </c>
      <c r="J195" s="103">
        <f>SUM($H$18:$H195)</f>
        <v>137143.8898412686</v>
      </c>
    </row>
    <row r="196" spans="1:10" x14ac:dyDescent="0.2">
      <c r="A196" s="101">
        <f>IF(Values_Entered,A195+1,"")</f>
        <v>179</v>
      </c>
      <c r="B196" s="102">
        <f t="shared" si="16"/>
        <v>49980</v>
      </c>
      <c r="C196" s="103">
        <f t="shared" si="22"/>
        <v>165617.64208253071</v>
      </c>
      <c r="D196" s="103">
        <f t="shared" si="17"/>
        <v>1244.5294817906613</v>
      </c>
      <c r="E196" s="104">
        <f t="shared" si="18"/>
        <v>0</v>
      </c>
      <c r="F196" s="103">
        <f t="shared" si="19"/>
        <v>1244.5294817906613</v>
      </c>
      <c r="G196" s="103">
        <f t="shared" si="20"/>
        <v>644.16552924148743</v>
      </c>
      <c r="H196" s="103">
        <f t="shared" si="23"/>
        <v>600.36395254917386</v>
      </c>
      <c r="I196" s="103">
        <f t="shared" si="21"/>
        <v>164973.47655328922</v>
      </c>
      <c r="J196" s="103">
        <f>SUM($H$18:$H196)</f>
        <v>137744.25379381777</v>
      </c>
    </row>
    <row r="197" spans="1:10" x14ac:dyDescent="0.2">
      <c r="A197" s="101">
        <f>IF(Values_Entered,A196+1,"")</f>
        <v>180</v>
      </c>
      <c r="B197" s="102">
        <f t="shared" si="16"/>
        <v>50010</v>
      </c>
      <c r="C197" s="103">
        <f t="shared" si="22"/>
        <v>164973.47655328922</v>
      </c>
      <c r="D197" s="103">
        <f t="shared" si="17"/>
        <v>1244.5294817906613</v>
      </c>
      <c r="E197" s="104">
        <f t="shared" si="18"/>
        <v>0</v>
      </c>
      <c r="F197" s="103">
        <f t="shared" si="19"/>
        <v>1244.5294817906613</v>
      </c>
      <c r="G197" s="103">
        <f t="shared" si="20"/>
        <v>646.50062928498789</v>
      </c>
      <c r="H197" s="103">
        <f t="shared" si="23"/>
        <v>598.0288525056734</v>
      </c>
      <c r="I197" s="103">
        <f t="shared" si="21"/>
        <v>164326.97592400422</v>
      </c>
      <c r="J197" s="103">
        <f>SUM($H$18:$H197)</f>
        <v>138342.28264632344</v>
      </c>
    </row>
    <row r="198" spans="1:10" x14ac:dyDescent="0.2">
      <c r="A198" s="101">
        <f>IF(Values_Entered,A197+1,"")</f>
        <v>181</v>
      </c>
      <c r="B198" s="102">
        <f t="shared" si="16"/>
        <v>50041</v>
      </c>
      <c r="C198" s="103">
        <f t="shared" si="22"/>
        <v>164326.97592400422</v>
      </c>
      <c r="D198" s="103">
        <f t="shared" si="17"/>
        <v>1244.5294817906613</v>
      </c>
      <c r="E198" s="104">
        <f t="shared" si="18"/>
        <v>0</v>
      </c>
      <c r="F198" s="103">
        <f t="shared" si="19"/>
        <v>1244.5294817906613</v>
      </c>
      <c r="G198" s="103">
        <f t="shared" si="20"/>
        <v>648.84419406614609</v>
      </c>
      <c r="H198" s="103">
        <f t="shared" si="23"/>
        <v>595.68528772451521</v>
      </c>
      <c r="I198" s="103">
        <f t="shared" si="21"/>
        <v>163678.13172993806</v>
      </c>
      <c r="J198" s="103">
        <f>SUM($H$18:$H198)</f>
        <v>138937.96793404795</v>
      </c>
    </row>
    <row r="199" spans="1:10" x14ac:dyDescent="0.2">
      <c r="A199" s="101">
        <f>IF(Values_Entered,A198+1,"")</f>
        <v>182</v>
      </c>
      <c r="B199" s="102">
        <f t="shared" si="16"/>
        <v>50072</v>
      </c>
      <c r="C199" s="103">
        <f t="shared" si="22"/>
        <v>163678.13172993806</v>
      </c>
      <c r="D199" s="103">
        <f t="shared" si="17"/>
        <v>1244.5294817906613</v>
      </c>
      <c r="E199" s="104">
        <f t="shared" si="18"/>
        <v>0</v>
      </c>
      <c r="F199" s="103">
        <f t="shared" si="19"/>
        <v>1244.5294817906613</v>
      </c>
      <c r="G199" s="103">
        <f t="shared" si="20"/>
        <v>651.19625426963592</v>
      </c>
      <c r="H199" s="103">
        <f t="shared" si="23"/>
        <v>593.33322752102538</v>
      </c>
      <c r="I199" s="103">
        <f t="shared" si="21"/>
        <v>163026.93547566843</v>
      </c>
      <c r="J199" s="103">
        <f>SUM($H$18:$H199)</f>
        <v>139531.30116156896</v>
      </c>
    </row>
    <row r="200" spans="1:10" x14ac:dyDescent="0.2">
      <c r="A200" s="101">
        <f>IF(Values_Entered,A199+1,"")</f>
        <v>183</v>
      </c>
      <c r="B200" s="102">
        <f t="shared" si="16"/>
        <v>50100</v>
      </c>
      <c r="C200" s="103">
        <f t="shared" si="22"/>
        <v>163026.93547566843</v>
      </c>
      <c r="D200" s="103">
        <f t="shared" si="17"/>
        <v>1244.5294817906613</v>
      </c>
      <c r="E200" s="104">
        <f t="shared" si="18"/>
        <v>0</v>
      </c>
      <c r="F200" s="103">
        <f t="shared" si="19"/>
        <v>1244.5294817906613</v>
      </c>
      <c r="G200" s="103">
        <f t="shared" si="20"/>
        <v>653.55684069136328</v>
      </c>
      <c r="H200" s="103">
        <f t="shared" si="23"/>
        <v>590.97264109929802</v>
      </c>
      <c r="I200" s="103">
        <f t="shared" si="21"/>
        <v>162373.37863497707</v>
      </c>
      <c r="J200" s="103">
        <f>SUM($H$18:$H200)</f>
        <v>140122.27380266826</v>
      </c>
    </row>
    <row r="201" spans="1:10" x14ac:dyDescent="0.2">
      <c r="A201" s="101">
        <f>IF(Values_Entered,A200+1,"")</f>
        <v>184</v>
      </c>
      <c r="B201" s="102">
        <f t="shared" si="16"/>
        <v>50131</v>
      </c>
      <c r="C201" s="103">
        <f t="shared" si="22"/>
        <v>162373.37863497707</v>
      </c>
      <c r="D201" s="103">
        <f t="shared" si="17"/>
        <v>1244.5294817906613</v>
      </c>
      <c r="E201" s="104">
        <f t="shared" si="18"/>
        <v>0</v>
      </c>
      <c r="F201" s="103">
        <f t="shared" si="19"/>
        <v>1244.5294817906613</v>
      </c>
      <c r="G201" s="103">
        <f t="shared" si="20"/>
        <v>655.92598423886943</v>
      </c>
      <c r="H201" s="103">
        <f t="shared" si="23"/>
        <v>588.60349755179186</v>
      </c>
      <c r="I201" s="103">
        <f t="shared" si="21"/>
        <v>161717.45265073821</v>
      </c>
      <c r="J201" s="103">
        <f>SUM($H$18:$H201)</f>
        <v>140710.87730022005</v>
      </c>
    </row>
    <row r="202" spans="1:10" x14ac:dyDescent="0.2">
      <c r="A202" s="101">
        <f>IF(Values_Entered,A201+1,"")</f>
        <v>185</v>
      </c>
      <c r="B202" s="102">
        <f t="shared" si="16"/>
        <v>50161</v>
      </c>
      <c r="C202" s="103">
        <f t="shared" si="22"/>
        <v>161717.45265073821</v>
      </c>
      <c r="D202" s="103">
        <f t="shared" si="17"/>
        <v>1244.5294817906613</v>
      </c>
      <c r="E202" s="104">
        <f t="shared" si="18"/>
        <v>0</v>
      </c>
      <c r="F202" s="103">
        <f t="shared" si="19"/>
        <v>1244.5294817906613</v>
      </c>
      <c r="G202" s="103">
        <f t="shared" si="20"/>
        <v>658.30371593173538</v>
      </c>
      <c r="H202" s="103">
        <f t="shared" si="23"/>
        <v>586.22576585892591</v>
      </c>
      <c r="I202" s="103">
        <f t="shared" si="21"/>
        <v>161059.14893480646</v>
      </c>
      <c r="J202" s="103">
        <f>SUM($H$18:$H202)</f>
        <v>141297.10306607897</v>
      </c>
    </row>
    <row r="203" spans="1:10" x14ac:dyDescent="0.2">
      <c r="A203" s="101">
        <f>IF(Values_Entered,A202+1,"")</f>
        <v>186</v>
      </c>
      <c r="B203" s="102">
        <f t="shared" si="16"/>
        <v>50192</v>
      </c>
      <c r="C203" s="103">
        <f t="shared" si="22"/>
        <v>161059.14893480646</v>
      </c>
      <c r="D203" s="103">
        <f t="shared" si="17"/>
        <v>1244.5294817906613</v>
      </c>
      <c r="E203" s="104">
        <f t="shared" si="18"/>
        <v>0</v>
      </c>
      <c r="F203" s="103">
        <f t="shared" si="19"/>
        <v>1244.5294817906613</v>
      </c>
      <c r="G203" s="103">
        <f t="shared" si="20"/>
        <v>660.69006690198796</v>
      </c>
      <c r="H203" s="103">
        <f t="shared" si="23"/>
        <v>583.83941488867333</v>
      </c>
      <c r="I203" s="103">
        <f t="shared" si="21"/>
        <v>160398.45886790447</v>
      </c>
      <c r="J203" s="103">
        <f>SUM($H$18:$H203)</f>
        <v>141880.94248096764</v>
      </c>
    </row>
    <row r="204" spans="1:10" x14ac:dyDescent="0.2">
      <c r="A204" s="101">
        <f>IF(Values_Entered,A203+1,"")</f>
        <v>187</v>
      </c>
      <c r="B204" s="102">
        <f t="shared" si="16"/>
        <v>50222</v>
      </c>
      <c r="C204" s="103">
        <f t="shared" si="22"/>
        <v>160398.45886790447</v>
      </c>
      <c r="D204" s="103">
        <f t="shared" si="17"/>
        <v>1244.5294817906613</v>
      </c>
      <c r="E204" s="104">
        <f t="shared" si="18"/>
        <v>0</v>
      </c>
      <c r="F204" s="103">
        <f t="shared" si="19"/>
        <v>1244.5294817906613</v>
      </c>
      <c r="G204" s="103">
        <f t="shared" si="20"/>
        <v>663.08506839450763</v>
      </c>
      <c r="H204" s="103">
        <f t="shared" si="23"/>
        <v>581.44441339615366</v>
      </c>
      <c r="I204" s="103">
        <f t="shared" si="21"/>
        <v>159735.37379950995</v>
      </c>
      <c r="J204" s="103">
        <f>SUM($H$18:$H204)</f>
        <v>142462.38689436379</v>
      </c>
    </row>
    <row r="205" spans="1:10" x14ac:dyDescent="0.2">
      <c r="A205" s="101">
        <f>IF(Values_Entered,A204+1,"")</f>
        <v>188</v>
      </c>
      <c r="B205" s="102">
        <f t="shared" si="16"/>
        <v>50253</v>
      </c>
      <c r="C205" s="103">
        <f t="shared" si="22"/>
        <v>159735.37379950995</v>
      </c>
      <c r="D205" s="103">
        <f t="shared" si="17"/>
        <v>1244.5294817906613</v>
      </c>
      <c r="E205" s="104">
        <f t="shared" si="18"/>
        <v>0</v>
      </c>
      <c r="F205" s="103">
        <f t="shared" si="19"/>
        <v>1244.5294817906613</v>
      </c>
      <c r="G205" s="103">
        <f t="shared" si="20"/>
        <v>665.48875176743775</v>
      </c>
      <c r="H205" s="103">
        <f t="shared" si="23"/>
        <v>579.04073002322355</v>
      </c>
      <c r="I205" s="103">
        <f t="shared" si="21"/>
        <v>159069.88504774251</v>
      </c>
      <c r="J205" s="103">
        <f>SUM($H$18:$H205)</f>
        <v>143041.42762438703</v>
      </c>
    </row>
    <row r="206" spans="1:10" x14ac:dyDescent="0.2">
      <c r="A206" s="101">
        <f>IF(Values_Entered,A205+1,"")</f>
        <v>189</v>
      </c>
      <c r="B206" s="102">
        <f t="shared" si="16"/>
        <v>50284</v>
      </c>
      <c r="C206" s="103">
        <f t="shared" si="22"/>
        <v>159069.88504774251</v>
      </c>
      <c r="D206" s="103">
        <f t="shared" si="17"/>
        <v>1244.5294817906613</v>
      </c>
      <c r="E206" s="104">
        <f t="shared" si="18"/>
        <v>0</v>
      </c>
      <c r="F206" s="103">
        <f t="shared" si="19"/>
        <v>1244.5294817906613</v>
      </c>
      <c r="G206" s="103">
        <f t="shared" si="20"/>
        <v>667.90114849259464</v>
      </c>
      <c r="H206" s="103">
        <f t="shared" si="23"/>
        <v>576.62833329806665</v>
      </c>
      <c r="I206" s="103">
        <f t="shared" si="21"/>
        <v>158401.98389924993</v>
      </c>
      <c r="J206" s="103">
        <f>SUM($H$18:$H206)</f>
        <v>143618.05595768508</v>
      </c>
    </row>
    <row r="207" spans="1:10" x14ac:dyDescent="0.2">
      <c r="A207" s="101">
        <f>IF(Values_Entered,A206+1,"")</f>
        <v>190</v>
      </c>
      <c r="B207" s="102">
        <f t="shared" si="16"/>
        <v>50314</v>
      </c>
      <c r="C207" s="103">
        <f t="shared" si="22"/>
        <v>158401.98389924993</v>
      </c>
      <c r="D207" s="103">
        <f t="shared" si="17"/>
        <v>1244.5294817906613</v>
      </c>
      <c r="E207" s="104">
        <f t="shared" si="18"/>
        <v>0</v>
      </c>
      <c r="F207" s="103">
        <f t="shared" si="19"/>
        <v>1244.5294817906613</v>
      </c>
      <c r="G207" s="103">
        <f t="shared" si="20"/>
        <v>670.3222901558803</v>
      </c>
      <c r="H207" s="103">
        <f t="shared" si="23"/>
        <v>574.207191634781</v>
      </c>
      <c r="I207" s="103">
        <f t="shared" si="21"/>
        <v>157731.66160909404</v>
      </c>
      <c r="J207" s="103">
        <f>SUM($H$18:$H207)</f>
        <v>144192.26314931986</v>
      </c>
    </row>
    <row r="208" spans="1:10" x14ac:dyDescent="0.2">
      <c r="A208" s="101">
        <f>IF(Values_Entered,A207+1,"")</f>
        <v>191</v>
      </c>
      <c r="B208" s="102">
        <f t="shared" si="16"/>
        <v>50345</v>
      </c>
      <c r="C208" s="103">
        <f t="shared" si="22"/>
        <v>157731.66160909404</v>
      </c>
      <c r="D208" s="103">
        <f t="shared" si="17"/>
        <v>1244.5294817906613</v>
      </c>
      <c r="E208" s="104">
        <f t="shared" si="18"/>
        <v>0</v>
      </c>
      <c r="F208" s="103">
        <f t="shared" si="19"/>
        <v>1244.5294817906613</v>
      </c>
      <c r="G208" s="103">
        <f t="shared" si="20"/>
        <v>672.75220845769547</v>
      </c>
      <c r="H208" s="103">
        <f t="shared" si="23"/>
        <v>571.77727333296582</v>
      </c>
      <c r="I208" s="103">
        <f t="shared" si="21"/>
        <v>157058.90940063633</v>
      </c>
      <c r="J208" s="103">
        <f>SUM($H$18:$H208)</f>
        <v>144764.04042265282</v>
      </c>
    </row>
    <row r="209" spans="1:10" x14ac:dyDescent="0.2">
      <c r="A209" s="101">
        <f>IF(Values_Entered,A208+1,"")</f>
        <v>192</v>
      </c>
      <c r="B209" s="102">
        <f t="shared" si="16"/>
        <v>50375</v>
      </c>
      <c r="C209" s="103">
        <f t="shared" si="22"/>
        <v>157058.90940063633</v>
      </c>
      <c r="D209" s="103">
        <f t="shared" si="17"/>
        <v>1244.5294817906613</v>
      </c>
      <c r="E209" s="104">
        <f t="shared" si="18"/>
        <v>0</v>
      </c>
      <c r="F209" s="103">
        <f t="shared" si="19"/>
        <v>1244.5294817906613</v>
      </c>
      <c r="G209" s="103">
        <f t="shared" si="20"/>
        <v>675.19093521335469</v>
      </c>
      <c r="H209" s="103">
        <f t="shared" si="23"/>
        <v>569.3385465773066</v>
      </c>
      <c r="I209" s="103">
        <f t="shared" si="21"/>
        <v>156383.71846542298</v>
      </c>
      <c r="J209" s="103">
        <f>SUM($H$18:$H209)</f>
        <v>145333.37896923014</v>
      </c>
    </row>
    <row r="210" spans="1:10" x14ac:dyDescent="0.2">
      <c r="A210" s="101">
        <f>IF(Values_Entered,A209+1,"")</f>
        <v>193</v>
      </c>
      <c r="B210" s="102">
        <f t="shared" ref="B210:B273" si="24">IF(Pay_Num&lt;&gt;"",DATE(YEAR(Loan_Start),MONTH(Loan_Start)+(Pay_Num)*12/Num_Pmt_Per_Year,DAY(Loan_Start)),"")</f>
        <v>50406</v>
      </c>
      <c r="C210" s="103">
        <f t="shared" si="22"/>
        <v>156383.71846542298</v>
      </c>
      <c r="D210" s="103">
        <f t="shared" ref="D210:D273" si="25">IF(Pay_Num&lt;&gt;"",Scheduled_Monthly_Payment,"")</f>
        <v>1244.5294817906613</v>
      </c>
      <c r="E210" s="104">
        <f t="shared" ref="E210:E273" si="26">IF(AND(Pay_Num&lt;&gt;"",Sched_Pay+Scheduled_Extra_Payments&lt;Beg_Bal),Scheduled_Extra_Payments,IF(AND(Pay_Num&lt;&gt;"",Beg_Bal-Sched_Pay&gt;0),Beg_Bal-Sched_Pay,IF(Pay_Num&lt;&gt;"",0,"")))</f>
        <v>0</v>
      </c>
      <c r="F210" s="103">
        <f t="shared" ref="F210:F273" si="27">IF(AND(Pay_Num&lt;&gt;"",Sched_Pay+Extra_Pay&lt;Beg_Bal),Sched_Pay+Extra_Pay,IF(Pay_Num&lt;&gt;"",Beg_Bal,""))</f>
        <v>1244.5294817906613</v>
      </c>
      <c r="G210" s="103">
        <f t="shared" ref="G210:G273" si="28">IF(Pay_Num&lt;&gt;"",Total_Pay-Int,"")</f>
        <v>677.63850235350299</v>
      </c>
      <c r="H210" s="103">
        <f t="shared" si="23"/>
        <v>566.89097943715831</v>
      </c>
      <c r="I210" s="103">
        <f t="shared" ref="I210:I273" si="29">IF(AND(Pay_Num&lt;&gt;"",Sched_Pay+Extra_Pay&lt;Beg_Bal),Beg_Bal-Princ,IF(Pay_Num&lt;&gt;"",0,""))</f>
        <v>155706.07996306947</v>
      </c>
      <c r="J210" s="103">
        <f>SUM($H$18:$H210)</f>
        <v>145900.26994866729</v>
      </c>
    </row>
    <row r="211" spans="1:10" x14ac:dyDescent="0.2">
      <c r="A211" s="101">
        <f>IF(Values_Entered,A210+1,"")</f>
        <v>194</v>
      </c>
      <c r="B211" s="102">
        <f t="shared" si="24"/>
        <v>50437</v>
      </c>
      <c r="C211" s="103">
        <f t="shared" ref="C211:C274" si="30">IF(Pay_Num&lt;&gt;"",I210,"")</f>
        <v>155706.07996306947</v>
      </c>
      <c r="D211" s="103">
        <f t="shared" si="25"/>
        <v>1244.5294817906613</v>
      </c>
      <c r="E211" s="104">
        <f t="shared" si="26"/>
        <v>0</v>
      </c>
      <c r="F211" s="103">
        <f t="shared" si="27"/>
        <v>1244.5294817906613</v>
      </c>
      <c r="G211" s="103">
        <f t="shared" si="28"/>
        <v>680.09494192453451</v>
      </c>
      <c r="H211" s="103">
        <f t="shared" ref="H211:H274" si="31">IF(Pay_Num&lt;&gt;"",Beg_Bal*Interest_Rate/Num_Pmt_Per_Year,"")</f>
        <v>564.43453986612678</v>
      </c>
      <c r="I211" s="103">
        <f t="shared" si="29"/>
        <v>155025.98502114494</v>
      </c>
      <c r="J211" s="103">
        <f>SUM($H$18:$H211)</f>
        <v>146464.70448853343</v>
      </c>
    </row>
    <row r="212" spans="1:10" x14ac:dyDescent="0.2">
      <c r="A212" s="101">
        <f>IF(Values_Entered,A211+1,"")</f>
        <v>195</v>
      </c>
      <c r="B212" s="102">
        <f t="shared" si="24"/>
        <v>50465</v>
      </c>
      <c r="C212" s="103">
        <f t="shared" si="30"/>
        <v>155025.98502114494</v>
      </c>
      <c r="D212" s="103">
        <f t="shared" si="25"/>
        <v>1244.5294817906613</v>
      </c>
      <c r="E212" s="104">
        <f t="shared" si="26"/>
        <v>0</v>
      </c>
      <c r="F212" s="103">
        <f t="shared" si="27"/>
        <v>1244.5294817906613</v>
      </c>
      <c r="G212" s="103">
        <f t="shared" si="28"/>
        <v>682.5602860890109</v>
      </c>
      <c r="H212" s="103">
        <f t="shared" si="31"/>
        <v>561.96919570165039</v>
      </c>
      <c r="I212" s="103">
        <f t="shared" si="29"/>
        <v>154343.42473505592</v>
      </c>
      <c r="J212" s="103">
        <f>SUM($H$18:$H212)</f>
        <v>147026.67368423508</v>
      </c>
    </row>
    <row r="213" spans="1:10" x14ac:dyDescent="0.2">
      <c r="A213" s="101">
        <f>IF(Values_Entered,A212+1,"")</f>
        <v>196</v>
      </c>
      <c r="B213" s="102">
        <f t="shared" si="24"/>
        <v>50496</v>
      </c>
      <c r="C213" s="103">
        <f t="shared" si="30"/>
        <v>154343.42473505592</v>
      </c>
      <c r="D213" s="103">
        <f t="shared" si="25"/>
        <v>1244.5294817906613</v>
      </c>
      <c r="E213" s="104">
        <f t="shared" si="26"/>
        <v>0</v>
      </c>
      <c r="F213" s="103">
        <f t="shared" si="27"/>
        <v>1244.5294817906613</v>
      </c>
      <c r="G213" s="103">
        <f t="shared" si="28"/>
        <v>685.03456712608363</v>
      </c>
      <c r="H213" s="103">
        <f t="shared" si="31"/>
        <v>559.49491466457766</v>
      </c>
      <c r="I213" s="103">
        <f t="shared" si="29"/>
        <v>153658.39016792984</v>
      </c>
      <c r="J213" s="103">
        <f>SUM($H$18:$H213)</f>
        <v>147586.16859889965</v>
      </c>
    </row>
    <row r="214" spans="1:10" x14ac:dyDescent="0.2">
      <c r="A214" s="101">
        <f>IF(Values_Entered,A213+1,"")</f>
        <v>197</v>
      </c>
      <c r="B214" s="102">
        <f t="shared" si="24"/>
        <v>50526</v>
      </c>
      <c r="C214" s="103">
        <f t="shared" si="30"/>
        <v>153658.39016792984</v>
      </c>
      <c r="D214" s="103">
        <f t="shared" si="25"/>
        <v>1244.5294817906613</v>
      </c>
      <c r="E214" s="104">
        <f t="shared" si="26"/>
        <v>0</v>
      </c>
      <c r="F214" s="103">
        <f t="shared" si="27"/>
        <v>1244.5294817906613</v>
      </c>
      <c r="G214" s="103">
        <f t="shared" si="28"/>
        <v>687.51781743191566</v>
      </c>
      <c r="H214" s="103">
        <f t="shared" si="31"/>
        <v>557.01166435874563</v>
      </c>
      <c r="I214" s="103">
        <f t="shared" si="29"/>
        <v>152970.87235049793</v>
      </c>
      <c r="J214" s="103">
        <f>SUM($H$18:$H214)</f>
        <v>148143.1802632584</v>
      </c>
    </row>
    <row r="215" spans="1:10" x14ac:dyDescent="0.2">
      <c r="A215" s="101">
        <f>IF(Values_Entered,A214+1,"")</f>
        <v>198</v>
      </c>
      <c r="B215" s="102">
        <f t="shared" si="24"/>
        <v>50557</v>
      </c>
      <c r="C215" s="103">
        <f t="shared" si="30"/>
        <v>152970.87235049793</v>
      </c>
      <c r="D215" s="103">
        <f t="shared" si="25"/>
        <v>1244.5294817906613</v>
      </c>
      <c r="E215" s="104">
        <f t="shared" si="26"/>
        <v>0</v>
      </c>
      <c r="F215" s="103">
        <f t="shared" si="27"/>
        <v>1244.5294817906613</v>
      </c>
      <c r="G215" s="103">
        <f t="shared" si="28"/>
        <v>690.01006952010641</v>
      </c>
      <c r="H215" s="103">
        <f t="shared" si="31"/>
        <v>554.51941227055488</v>
      </c>
      <c r="I215" s="103">
        <f t="shared" si="29"/>
        <v>152280.86228097783</v>
      </c>
      <c r="J215" s="103">
        <f>SUM($H$18:$H215)</f>
        <v>148697.69967552894</v>
      </c>
    </row>
    <row r="216" spans="1:10" x14ac:dyDescent="0.2">
      <c r="A216" s="101">
        <f>IF(Values_Entered,A215+1,"")</f>
        <v>199</v>
      </c>
      <c r="B216" s="102">
        <f t="shared" si="24"/>
        <v>50587</v>
      </c>
      <c r="C216" s="103">
        <f t="shared" si="30"/>
        <v>152280.86228097783</v>
      </c>
      <c r="D216" s="103">
        <f t="shared" si="25"/>
        <v>1244.5294817906613</v>
      </c>
      <c r="E216" s="104">
        <f t="shared" si="26"/>
        <v>0</v>
      </c>
      <c r="F216" s="103">
        <f t="shared" si="27"/>
        <v>1244.5294817906613</v>
      </c>
      <c r="G216" s="103">
        <f t="shared" si="28"/>
        <v>692.51135602211673</v>
      </c>
      <c r="H216" s="103">
        <f t="shared" si="31"/>
        <v>552.01812576854456</v>
      </c>
      <c r="I216" s="103">
        <f t="shared" si="29"/>
        <v>151588.35092495571</v>
      </c>
      <c r="J216" s="103">
        <f>SUM($H$18:$H216)</f>
        <v>149249.71780129749</v>
      </c>
    </row>
    <row r="217" spans="1:10" x14ac:dyDescent="0.2">
      <c r="A217" s="101">
        <f>IF(Values_Entered,A216+1,"")</f>
        <v>200</v>
      </c>
      <c r="B217" s="102">
        <f t="shared" si="24"/>
        <v>50618</v>
      </c>
      <c r="C217" s="103">
        <f t="shared" si="30"/>
        <v>151588.35092495571</v>
      </c>
      <c r="D217" s="103">
        <f t="shared" si="25"/>
        <v>1244.5294817906613</v>
      </c>
      <c r="E217" s="104">
        <f t="shared" si="26"/>
        <v>0</v>
      </c>
      <c r="F217" s="103">
        <f t="shared" si="27"/>
        <v>1244.5294817906613</v>
      </c>
      <c r="G217" s="103">
        <f t="shared" si="28"/>
        <v>695.0217096876969</v>
      </c>
      <c r="H217" s="103">
        <f t="shared" si="31"/>
        <v>549.5077721029644</v>
      </c>
      <c r="I217" s="103">
        <f t="shared" si="29"/>
        <v>150893.32921526802</v>
      </c>
      <c r="J217" s="103">
        <f>SUM($H$18:$H217)</f>
        <v>149799.22557340044</v>
      </c>
    </row>
    <row r="218" spans="1:10" x14ac:dyDescent="0.2">
      <c r="A218" s="101">
        <f>IF(Values_Entered,A217+1,"")</f>
        <v>201</v>
      </c>
      <c r="B218" s="102">
        <f t="shared" si="24"/>
        <v>50649</v>
      </c>
      <c r="C218" s="103">
        <f t="shared" si="30"/>
        <v>150893.32921526802</v>
      </c>
      <c r="D218" s="103">
        <f t="shared" si="25"/>
        <v>1244.5294817906613</v>
      </c>
      <c r="E218" s="104">
        <f t="shared" si="26"/>
        <v>0</v>
      </c>
      <c r="F218" s="103">
        <f t="shared" si="27"/>
        <v>1244.5294817906613</v>
      </c>
      <c r="G218" s="103">
        <f t="shared" si="28"/>
        <v>697.54116338531469</v>
      </c>
      <c r="H218" s="103">
        <f t="shared" si="31"/>
        <v>546.9883184053466</v>
      </c>
      <c r="I218" s="103">
        <f t="shared" si="29"/>
        <v>150195.7880518827</v>
      </c>
      <c r="J218" s="103">
        <f>SUM($H$18:$H218)</f>
        <v>150346.21389180579</v>
      </c>
    </row>
    <row r="219" spans="1:10" x14ac:dyDescent="0.2">
      <c r="A219" s="101">
        <f>IF(Values_Entered,A218+1,"")</f>
        <v>202</v>
      </c>
      <c r="B219" s="102">
        <f t="shared" si="24"/>
        <v>50679</v>
      </c>
      <c r="C219" s="103">
        <f t="shared" si="30"/>
        <v>150195.7880518827</v>
      </c>
      <c r="D219" s="103">
        <f t="shared" si="25"/>
        <v>1244.5294817906613</v>
      </c>
      <c r="E219" s="104">
        <f t="shared" si="26"/>
        <v>0</v>
      </c>
      <c r="F219" s="103">
        <f t="shared" si="27"/>
        <v>1244.5294817906613</v>
      </c>
      <c r="G219" s="103">
        <f t="shared" si="28"/>
        <v>700.06975010258657</v>
      </c>
      <c r="H219" s="103">
        <f t="shared" si="31"/>
        <v>544.45973168807473</v>
      </c>
      <c r="I219" s="103">
        <f t="shared" si="29"/>
        <v>149495.71830178011</v>
      </c>
      <c r="J219" s="103">
        <f>SUM($H$18:$H219)</f>
        <v>150890.67362349387</v>
      </c>
    </row>
    <row r="220" spans="1:10" x14ac:dyDescent="0.2">
      <c r="A220" s="101">
        <f>IF(Values_Entered,A219+1,"")</f>
        <v>203</v>
      </c>
      <c r="B220" s="102">
        <f t="shared" si="24"/>
        <v>50710</v>
      </c>
      <c r="C220" s="103">
        <f t="shared" si="30"/>
        <v>149495.71830178011</v>
      </c>
      <c r="D220" s="103">
        <f t="shared" si="25"/>
        <v>1244.5294817906613</v>
      </c>
      <c r="E220" s="104">
        <f t="shared" si="26"/>
        <v>0</v>
      </c>
      <c r="F220" s="103">
        <f t="shared" si="27"/>
        <v>1244.5294817906613</v>
      </c>
      <c r="G220" s="103">
        <f t="shared" si="28"/>
        <v>702.60750294670845</v>
      </c>
      <c r="H220" s="103">
        <f t="shared" si="31"/>
        <v>541.92197884395284</v>
      </c>
      <c r="I220" s="103">
        <f t="shared" si="29"/>
        <v>148793.1107988334</v>
      </c>
      <c r="J220" s="103">
        <f>SUM($H$18:$H220)</f>
        <v>151432.59560233782</v>
      </c>
    </row>
    <row r="221" spans="1:10" x14ac:dyDescent="0.2">
      <c r="A221" s="101">
        <f>IF(Values_Entered,A220+1,"")</f>
        <v>204</v>
      </c>
      <c r="B221" s="102">
        <f t="shared" si="24"/>
        <v>50740</v>
      </c>
      <c r="C221" s="103">
        <f t="shared" si="30"/>
        <v>148793.1107988334</v>
      </c>
      <c r="D221" s="103">
        <f t="shared" si="25"/>
        <v>1244.5294817906613</v>
      </c>
      <c r="E221" s="104">
        <f t="shared" si="26"/>
        <v>0</v>
      </c>
      <c r="F221" s="103">
        <f t="shared" si="27"/>
        <v>1244.5294817906613</v>
      </c>
      <c r="G221" s="103">
        <f t="shared" si="28"/>
        <v>705.15445514489022</v>
      </c>
      <c r="H221" s="103">
        <f t="shared" si="31"/>
        <v>539.37502664577107</v>
      </c>
      <c r="I221" s="103">
        <f t="shared" si="29"/>
        <v>148087.95634368851</v>
      </c>
      <c r="J221" s="103">
        <f>SUM($H$18:$H221)</f>
        <v>151971.9706289836</v>
      </c>
    </row>
    <row r="222" spans="1:10" x14ac:dyDescent="0.2">
      <c r="A222" s="101">
        <f>IF(Values_Entered,A221+1,"")</f>
        <v>205</v>
      </c>
      <c r="B222" s="102">
        <f t="shared" si="24"/>
        <v>50771</v>
      </c>
      <c r="C222" s="103">
        <f t="shared" si="30"/>
        <v>148087.95634368851</v>
      </c>
      <c r="D222" s="103">
        <f t="shared" si="25"/>
        <v>1244.5294817906613</v>
      </c>
      <c r="E222" s="104">
        <f t="shared" si="26"/>
        <v>0</v>
      </c>
      <c r="F222" s="103">
        <f t="shared" si="27"/>
        <v>1244.5294817906613</v>
      </c>
      <c r="G222" s="103">
        <f t="shared" si="28"/>
        <v>707.71064004479047</v>
      </c>
      <c r="H222" s="103">
        <f t="shared" si="31"/>
        <v>536.81884174587083</v>
      </c>
      <c r="I222" s="103">
        <f t="shared" si="29"/>
        <v>147380.24570364371</v>
      </c>
      <c r="J222" s="103">
        <f>SUM($H$18:$H222)</f>
        <v>152508.78947072948</v>
      </c>
    </row>
    <row r="223" spans="1:10" x14ac:dyDescent="0.2">
      <c r="A223" s="101">
        <f>IF(Values_Entered,A222+1,"")</f>
        <v>206</v>
      </c>
      <c r="B223" s="102">
        <f t="shared" si="24"/>
        <v>50802</v>
      </c>
      <c r="C223" s="103">
        <f t="shared" si="30"/>
        <v>147380.24570364371</v>
      </c>
      <c r="D223" s="103">
        <f t="shared" si="25"/>
        <v>1244.5294817906613</v>
      </c>
      <c r="E223" s="104">
        <f t="shared" si="26"/>
        <v>0</v>
      </c>
      <c r="F223" s="103">
        <f t="shared" si="27"/>
        <v>1244.5294817906613</v>
      </c>
      <c r="G223" s="103">
        <f t="shared" si="28"/>
        <v>710.27609111495292</v>
      </c>
      <c r="H223" s="103">
        <f t="shared" si="31"/>
        <v>534.25339067570837</v>
      </c>
      <c r="I223" s="103">
        <f t="shared" si="29"/>
        <v>146669.96961252874</v>
      </c>
      <c r="J223" s="103">
        <f>SUM($H$18:$H223)</f>
        <v>153043.04286140518</v>
      </c>
    </row>
    <row r="224" spans="1:10" x14ac:dyDescent="0.2">
      <c r="A224" s="101">
        <f>IF(Values_Entered,A223+1,"")</f>
        <v>207</v>
      </c>
      <c r="B224" s="102">
        <f t="shared" si="24"/>
        <v>50830</v>
      </c>
      <c r="C224" s="103">
        <f t="shared" si="30"/>
        <v>146669.96961252874</v>
      </c>
      <c r="D224" s="103">
        <f t="shared" si="25"/>
        <v>1244.5294817906613</v>
      </c>
      <c r="E224" s="104">
        <f t="shared" si="26"/>
        <v>0</v>
      </c>
      <c r="F224" s="103">
        <f t="shared" si="27"/>
        <v>1244.5294817906613</v>
      </c>
      <c r="G224" s="103">
        <f t="shared" si="28"/>
        <v>712.85084194524461</v>
      </c>
      <c r="H224" s="103">
        <f t="shared" si="31"/>
        <v>531.67863984541668</v>
      </c>
      <c r="I224" s="103">
        <f t="shared" si="29"/>
        <v>145957.1187705835</v>
      </c>
      <c r="J224" s="103">
        <f>SUM($H$18:$H224)</f>
        <v>153574.72150125061</v>
      </c>
    </row>
    <row r="225" spans="1:10" x14ac:dyDescent="0.2">
      <c r="A225" s="101">
        <f>IF(Values_Entered,A224+1,"")</f>
        <v>208</v>
      </c>
      <c r="B225" s="102">
        <f t="shared" si="24"/>
        <v>50861</v>
      </c>
      <c r="C225" s="103">
        <f t="shared" si="30"/>
        <v>145957.1187705835</v>
      </c>
      <c r="D225" s="103">
        <f t="shared" si="25"/>
        <v>1244.5294817906613</v>
      </c>
      <c r="E225" s="104">
        <f t="shared" si="26"/>
        <v>0</v>
      </c>
      <c r="F225" s="103">
        <f t="shared" si="27"/>
        <v>1244.5294817906613</v>
      </c>
      <c r="G225" s="103">
        <f t="shared" si="28"/>
        <v>715.43492624729618</v>
      </c>
      <c r="H225" s="103">
        <f t="shared" si="31"/>
        <v>529.09455554336512</v>
      </c>
      <c r="I225" s="103">
        <f t="shared" si="29"/>
        <v>145241.68384433622</v>
      </c>
      <c r="J225" s="103">
        <f>SUM($H$18:$H225)</f>
        <v>154103.81605679396</v>
      </c>
    </row>
    <row r="226" spans="1:10" x14ac:dyDescent="0.2">
      <c r="A226" s="101">
        <f>IF(Values_Entered,A225+1,"")</f>
        <v>209</v>
      </c>
      <c r="B226" s="102">
        <f t="shared" si="24"/>
        <v>50891</v>
      </c>
      <c r="C226" s="103">
        <f t="shared" si="30"/>
        <v>145241.68384433622</v>
      </c>
      <c r="D226" s="103">
        <f t="shared" si="25"/>
        <v>1244.5294817906613</v>
      </c>
      <c r="E226" s="104">
        <f t="shared" si="26"/>
        <v>0</v>
      </c>
      <c r="F226" s="103">
        <f t="shared" si="27"/>
        <v>1244.5294817906613</v>
      </c>
      <c r="G226" s="103">
        <f t="shared" si="28"/>
        <v>718.02837785494251</v>
      </c>
      <c r="H226" s="103">
        <f t="shared" si="31"/>
        <v>526.50110393571879</v>
      </c>
      <c r="I226" s="103">
        <f t="shared" si="29"/>
        <v>144523.65546648129</v>
      </c>
      <c r="J226" s="103">
        <f>SUM($H$18:$H226)</f>
        <v>154630.31716072967</v>
      </c>
    </row>
    <row r="227" spans="1:10" x14ac:dyDescent="0.2">
      <c r="A227" s="101">
        <f>IF(Values_Entered,A226+1,"")</f>
        <v>210</v>
      </c>
      <c r="B227" s="102">
        <f t="shared" si="24"/>
        <v>50922</v>
      </c>
      <c r="C227" s="103">
        <f t="shared" si="30"/>
        <v>144523.65546648129</v>
      </c>
      <c r="D227" s="103">
        <f t="shared" si="25"/>
        <v>1244.5294817906613</v>
      </c>
      <c r="E227" s="104">
        <f t="shared" si="26"/>
        <v>0</v>
      </c>
      <c r="F227" s="103">
        <f t="shared" si="27"/>
        <v>1244.5294817906613</v>
      </c>
      <c r="G227" s="103">
        <f t="shared" si="28"/>
        <v>720.63123072466669</v>
      </c>
      <c r="H227" s="103">
        <f t="shared" si="31"/>
        <v>523.8982510659946</v>
      </c>
      <c r="I227" s="103">
        <f t="shared" si="29"/>
        <v>143803.02423575663</v>
      </c>
      <c r="J227" s="103">
        <f>SUM($H$18:$H227)</f>
        <v>155154.21541179565</v>
      </c>
    </row>
    <row r="228" spans="1:10" x14ac:dyDescent="0.2">
      <c r="A228" s="101">
        <f>IF(Values_Entered,A227+1,"")</f>
        <v>211</v>
      </c>
      <c r="B228" s="102">
        <f t="shared" si="24"/>
        <v>50952</v>
      </c>
      <c r="C228" s="103">
        <f t="shared" si="30"/>
        <v>143803.02423575663</v>
      </c>
      <c r="D228" s="103">
        <f t="shared" si="25"/>
        <v>1244.5294817906613</v>
      </c>
      <c r="E228" s="104">
        <f t="shared" si="26"/>
        <v>0</v>
      </c>
      <c r="F228" s="103">
        <f t="shared" si="27"/>
        <v>1244.5294817906613</v>
      </c>
      <c r="G228" s="103">
        <f t="shared" si="28"/>
        <v>723.24351893604353</v>
      </c>
      <c r="H228" s="103">
        <f t="shared" si="31"/>
        <v>521.28596285461776</v>
      </c>
      <c r="I228" s="103">
        <f t="shared" si="29"/>
        <v>143079.78071682059</v>
      </c>
      <c r="J228" s="103">
        <f>SUM($H$18:$H228)</f>
        <v>155675.50137465028</v>
      </c>
    </row>
    <row r="229" spans="1:10" x14ac:dyDescent="0.2">
      <c r="A229" s="101">
        <f>IF(Values_Entered,A228+1,"")</f>
        <v>212</v>
      </c>
      <c r="B229" s="102">
        <f t="shared" si="24"/>
        <v>50983</v>
      </c>
      <c r="C229" s="103">
        <f t="shared" si="30"/>
        <v>143079.78071682059</v>
      </c>
      <c r="D229" s="103">
        <f t="shared" si="25"/>
        <v>1244.5294817906613</v>
      </c>
      <c r="E229" s="104">
        <f t="shared" si="26"/>
        <v>0</v>
      </c>
      <c r="F229" s="103">
        <f t="shared" si="27"/>
        <v>1244.5294817906613</v>
      </c>
      <c r="G229" s="103">
        <f t="shared" si="28"/>
        <v>725.86527669218674</v>
      </c>
      <c r="H229" s="103">
        <f t="shared" si="31"/>
        <v>518.66420509847455</v>
      </c>
      <c r="I229" s="103">
        <f t="shared" si="29"/>
        <v>142353.91544012842</v>
      </c>
      <c r="J229" s="103">
        <f>SUM($H$18:$H229)</f>
        <v>156194.16557974875</v>
      </c>
    </row>
    <row r="230" spans="1:10" x14ac:dyDescent="0.2">
      <c r="A230" s="101">
        <f>IF(Values_Entered,A229+1,"")</f>
        <v>213</v>
      </c>
      <c r="B230" s="102">
        <f t="shared" si="24"/>
        <v>51014</v>
      </c>
      <c r="C230" s="103">
        <f t="shared" si="30"/>
        <v>142353.91544012842</v>
      </c>
      <c r="D230" s="103">
        <f t="shared" si="25"/>
        <v>1244.5294817906613</v>
      </c>
      <c r="E230" s="104">
        <f t="shared" si="26"/>
        <v>0</v>
      </c>
      <c r="F230" s="103">
        <f t="shared" si="27"/>
        <v>1244.5294817906613</v>
      </c>
      <c r="G230" s="103">
        <f t="shared" si="28"/>
        <v>728.49653832019578</v>
      </c>
      <c r="H230" s="103">
        <f t="shared" si="31"/>
        <v>516.03294347046551</v>
      </c>
      <c r="I230" s="103">
        <f t="shared" si="29"/>
        <v>141625.41890180821</v>
      </c>
      <c r="J230" s="103">
        <f>SUM($H$18:$H230)</f>
        <v>156710.19852321921</v>
      </c>
    </row>
    <row r="231" spans="1:10" x14ac:dyDescent="0.2">
      <c r="A231" s="101">
        <f>IF(Values_Entered,A230+1,"")</f>
        <v>214</v>
      </c>
      <c r="B231" s="102">
        <f t="shared" si="24"/>
        <v>51044</v>
      </c>
      <c r="C231" s="103">
        <f t="shared" si="30"/>
        <v>141625.41890180821</v>
      </c>
      <c r="D231" s="103">
        <f t="shared" si="25"/>
        <v>1244.5294817906613</v>
      </c>
      <c r="E231" s="104">
        <f t="shared" si="26"/>
        <v>0</v>
      </c>
      <c r="F231" s="103">
        <f t="shared" si="27"/>
        <v>1244.5294817906613</v>
      </c>
      <c r="G231" s="103">
        <f t="shared" si="28"/>
        <v>731.13733827160661</v>
      </c>
      <c r="H231" s="103">
        <f t="shared" si="31"/>
        <v>513.39214351905468</v>
      </c>
      <c r="I231" s="103">
        <f t="shared" si="29"/>
        <v>140894.28156353661</v>
      </c>
      <c r="J231" s="103">
        <f>SUM($H$18:$H231)</f>
        <v>157223.59066673825</v>
      </c>
    </row>
    <row r="232" spans="1:10" x14ac:dyDescent="0.2">
      <c r="A232" s="101">
        <f>IF(Values_Entered,A231+1,"")</f>
        <v>215</v>
      </c>
      <c r="B232" s="102">
        <f t="shared" si="24"/>
        <v>51075</v>
      </c>
      <c r="C232" s="103">
        <f t="shared" si="30"/>
        <v>140894.28156353661</v>
      </c>
      <c r="D232" s="103">
        <f t="shared" si="25"/>
        <v>1244.5294817906613</v>
      </c>
      <c r="E232" s="104">
        <f t="shared" si="26"/>
        <v>0</v>
      </c>
      <c r="F232" s="103">
        <f t="shared" si="27"/>
        <v>1244.5294817906613</v>
      </c>
      <c r="G232" s="103">
        <f t="shared" si="28"/>
        <v>733.78771112284107</v>
      </c>
      <c r="H232" s="103">
        <f t="shared" si="31"/>
        <v>510.74177066782022</v>
      </c>
      <c r="I232" s="103">
        <f t="shared" si="29"/>
        <v>140160.49385241378</v>
      </c>
      <c r="J232" s="103">
        <f>SUM($H$18:$H232)</f>
        <v>157734.33243740606</v>
      </c>
    </row>
    <row r="233" spans="1:10" x14ac:dyDescent="0.2">
      <c r="A233" s="101">
        <f>IF(Values_Entered,A232+1,"")</f>
        <v>216</v>
      </c>
      <c r="B233" s="102">
        <f t="shared" si="24"/>
        <v>51105</v>
      </c>
      <c r="C233" s="103">
        <f t="shared" si="30"/>
        <v>140160.49385241378</v>
      </c>
      <c r="D233" s="103">
        <f t="shared" si="25"/>
        <v>1244.5294817906613</v>
      </c>
      <c r="E233" s="104">
        <f t="shared" si="26"/>
        <v>0</v>
      </c>
      <c r="F233" s="103">
        <f t="shared" si="27"/>
        <v>1244.5294817906613</v>
      </c>
      <c r="G233" s="103">
        <f t="shared" si="28"/>
        <v>736.44769157566134</v>
      </c>
      <c r="H233" s="103">
        <f t="shared" si="31"/>
        <v>508.08179021499996</v>
      </c>
      <c r="I233" s="103">
        <f t="shared" si="29"/>
        <v>139424.04616083813</v>
      </c>
      <c r="J233" s="103">
        <f>SUM($H$18:$H233)</f>
        <v>158242.41422762105</v>
      </c>
    </row>
    <row r="234" spans="1:10" x14ac:dyDescent="0.2">
      <c r="A234" s="101">
        <f>IF(Values_Entered,A233+1,"")</f>
        <v>217</v>
      </c>
      <c r="B234" s="102">
        <f t="shared" si="24"/>
        <v>51136</v>
      </c>
      <c r="C234" s="103">
        <f t="shared" si="30"/>
        <v>139424.04616083813</v>
      </c>
      <c r="D234" s="103">
        <f t="shared" si="25"/>
        <v>1244.5294817906613</v>
      </c>
      <c r="E234" s="104">
        <f t="shared" si="26"/>
        <v>0</v>
      </c>
      <c r="F234" s="103">
        <f t="shared" si="27"/>
        <v>1244.5294817906613</v>
      </c>
      <c r="G234" s="103">
        <f t="shared" si="28"/>
        <v>739.11731445762302</v>
      </c>
      <c r="H234" s="103">
        <f t="shared" si="31"/>
        <v>505.41216733303821</v>
      </c>
      <c r="I234" s="103">
        <f t="shared" si="29"/>
        <v>138684.9288463805</v>
      </c>
      <c r="J234" s="103">
        <f>SUM($H$18:$H234)</f>
        <v>158747.82639495409</v>
      </c>
    </row>
    <row r="235" spans="1:10" x14ac:dyDescent="0.2">
      <c r="A235" s="101">
        <f>IF(Values_Entered,A234+1,"")</f>
        <v>218</v>
      </c>
      <c r="B235" s="102">
        <f t="shared" si="24"/>
        <v>51167</v>
      </c>
      <c r="C235" s="103">
        <f t="shared" si="30"/>
        <v>138684.9288463805</v>
      </c>
      <c r="D235" s="103">
        <f t="shared" si="25"/>
        <v>1244.5294817906613</v>
      </c>
      <c r="E235" s="104">
        <f t="shared" si="26"/>
        <v>0</v>
      </c>
      <c r="F235" s="103">
        <f t="shared" si="27"/>
        <v>1244.5294817906613</v>
      </c>
      <c r="G235" s="103">
        <f t="shared" si="28"/>
        <v>741.79661472253201</v>
      </c>
      <c r="H235" s="103">
        <f t="shared" si="31"/>
        <v>502.73286706812928</v>
      </c>
      <c r="I235" s="103">
        <f t="shared" si="29"/>
        <v>137943.13223165798</v>
      </c>
      <c r="J235" s="103">
        <f>SUM($H$18:$H235)</f>
        <v>159250.5592620222</v>
      </c>
    </row>
    <row r="236" spans="1:10" x14ac:dyDescent="0.2">
      <c r="A236" s="101">
        <f>IF(Values_Entered,A235+1,"")</f>
        <v>219</v>
      </c>
      <c r="B236" s="102">
        <f t="shared" si="24"/>
        <v>51196</v>
      </c>
      <c r="C236" s="103">
        <f t="shared" si="30"/>
        <v>137943.13223165798</v>
      </c>
      <c r="D236" s="103">
        <f t="shared" si="25"/>
        <v>1244.5294817906613</v>
      </c>
      <c r="E236" s="104">
        <f t="shared" si="26"/>
        <v>0</v>
      </c>
      <c r="F236" s="103">
        <f t="shared" si="27"/>
        <v>1244.5294817906613</v>
      </c>
      <c r="G236" s="103">
        <f t="shared" si="28"/>
        <v>744.48562745090112</v>
      </c>
      <c r="H236" s="103">
        <f t="shared" si="31"/>
        <v>500.04385433976012</v>
      </c>
      <c r="I236" s="103">
        <f t="shared" si="29"/>
        <v>137198.64660420708</v>
      </c>
      <c r="J236" s="103">
        <f>SUM($H$18:$H236)</f>
        <v>159750.60311636195</v>
      </c>
    </row>
    <row r="237" spans="1:10" x14ac:dyDescent="0.2">
      <c r="A237" s="101">
        <f>IF(Values_Entered,A236+1,"")</f>
        <v>220</v>
      </c>
      <c r="B237" s="102">
        <f t="shared" si="24"/>
        <v>51227</v>
      </c>
      <c r="C237" s="103">
        <f t="shared" si="30"/>
        <v>137198.64660420708</v>
      </c>
      <c r="D237" s="103">
        <f t="shared" si="25"/>
        <v>1244.5294817906613</v>
      </c>
      <c r="E237" s="104">
        <f t="shared" si="26"/>
        <v>0</v>
      </c>
      <c r="F237" s="103">
        <f t="shared" si="27"/>
        <v>1244.5294817906613</v>
      </c>
      <c r="G237" s="103">
        <f t="shared" si="28"/>
        <v>747.18438785041076</v>
      </c>
      <c r="H237" s="103">
        <f t="shared" si="31"/>
        <v>497.34509394025059</v>
      </c>
      <c r="I237" s="103">
        <f t="shared" si="29"/>
        <v>136451.46221635668</v>
      </c>
      <c r="J237" s="103">
        <f>SUM($H$18:$H237)</f>
        <v>160247.94821030219</v>
      </c>
    </row>
    <row r="238" spans="1:10" x14ac:dyDescent="0.2">
      <c r="A238" s="101">
        <f>IF(Values_Entered,A237+1,"")</f>
        <v>221</v>
      </c>
      <c r="B238" s="102">
        <f t="shared" si="24"/>
        <v>51257</v>
      </c>
      <c r="C238" s="103">
        <f t="shared" si="30"/>
        <v>136451.46221635668</v>
      </c>
      <c r="D238" s="103">
        <f t="shared" si="25"/>
        <v>1244.5294817906613</v>
      </c>
      <c r="E238" s="104">
        <f t="shared" si="26"/>
        <v>0</v>
      </c>
      <c r="F238" s="103">
        <f t="shared" si="27"/>
        <v>1244.5294817906613</v>
      </c>
      <c r="G238" s="103">
        <f t="shared" si="28"/>
        <v>749.89293125636846</v>
      </c>
      <c r="H238" s="103">
        <f t="shared" si="31"/>
        <v>494.63655053429289</v>
      </c>
      <c r="I238" s="103">
        <f t="shared" si="29"/>
        <v>135701.56928510033</v>
      </c>
      <c r="J238" s="103">
        <f>SUM($H$18:$H238)</f>
        <v>160742.58476083647</v>
      </c>
    </row>
    <row r="239" spans="1:10" x14ac:dyDescent="0.2">
      <c r="A239" s="101">
        <f>IF(Values_Entered,A238+1,"")</f>
        <v>222</v>
      </c>
      <c r="B239" s="102">
        <f t="shared" si="24"/>
        <v>51288</v>
      </c>
      <c r="C239" s="103">
        <f t="shared" si="30"/>
        <v>135701.56928510033</v>
      </c>
      <c r="D239" s="103">
        <f t="shared" si="25"/>
        <v>1244.5294817906613</v>
      </c>
      <c r="E239" s="104">
        <f t="shared" si="26"/>
        <v>0</v>
      </c>
      <c r="F239" s="103">
        <f t="shared" si="27"/>
        <v>1244.5294817906613</v>
      </c>
      <c r="G239" s="103">
        <f t="shared" si="28"/>
        <v>752.6112931321727</v>
      </c>
      <c r="H239" s="103">
        <f t="shared" si="31"/>
        <v>491.91818865848865</v>
      </c>
      <c r="I239" s="103">
        <f t="shared" si="29"/>
        <v>134948.95799196814</v>
      </c>
      <c r="J239" s="103">
        <f>SUM($H$18:$H239)</f>
        <v>161234.50294949496</v>
      </c>
    </row>
    <row r="240" spans="1:10" x14ac:dyDescent="0.2">
      <c r="A240" s="101">
        <f>IF(Values_Entered,A239+1,"")</f>
        <v>223</v>
      </c>
      <c r="B240" s="102">
        <f t="shared" si="24"/>
        <v>51318</v>
      </c>
      <c r="C240" s="103">
        <f t="shared" si="30"/>
        <v>134948.95799196814</v>
      </c>
      <c r="D240" s="103">
        <f t="shared" si="25"/>
        <v>1244.5294817906613</v>
      </c>
      <c r="E240" s="104">
        <f t="shared" si="26"/>
        <v>0</v>
      </c>
      <c r="F240" s="103">
        <f t="shared" si="27"/>
        <v>1244.5294817906613</v>
      </c>
      <c r="G240" s="103">
        <f t="shared" si="28"/>
        <v>755.3395090697768</v>
      </c>
      <c r="H240" s="103">
        <f t="shared" si="31"/>
        <v>489.1899727208845</v>
      </c>
      <c r="I240" s="103">
        <f t="shared" si="29"/>
        <v>134193.61848289837</v>
      </c>
      <c r="J240" s="103">
        <f>SUM($H$18:$H240)</f>
        <v>161723.69292221585</v>
      </c>
    </row>
    <row r="241" spans="1:10" x14ac:dyDescent="0.2">
      <c r="A241" s="101">
        <f>IF(Values_Entered,A240+1,"")</f>
        <v>224</v>
      </c>
      <c r="B241" s="102">
        <f t="shared" si="24"/>
        <v>51349</v>
      </c>
      <c r="C241" s="103">
        <f t="shared" si="30"/>
        <v>134193.61848289837</v>
      </c>
      <c r="D241" s="103">
        <f t="shared" si="25"/>
        <v>1244.5294817906613</v>
      </c>
      <c r="E241" s="104">
        <f t="shared" si="26"/>
        <v>0</v>
      </c>
      <c r="F241" s="103">
        <f t="shared" si="27"/>
        <v>1244.5294817906613</v>
      </c>
      <c r="G241" s="103">
        <f t="shared" si="28"/>
        <v>758.07761479015471</v>
      </c>
      <c r="H241" s="103">
        <f t="shared" si="31"/>
        <v>486.45186700050658</v>
      </c>
      <c r="I241" s="103">
        <f t="shared" si="29"/>
        <v>133435.54086810822</v>
      </c>
      <c r="J241" s="103">
        <f>SUM($H$18:$H241)</f>
        <v>162210.14478921637</v>
      </c>
    </row>
    <row r="242" spans="1:10" x14ac:dyDescent="0.2">
      <c r="A242" s="101">
        <f>IF(Values_Entered,A241+1,"")</f>
        <v>225</v>
      </c>
      <c r="B242" s="102">
        <f t="shared" si="24"/>
        <v>51380</v>
      </c>
      <c r="C242" s="103">
        <f t="shared" si="30"/>
        <v>133435.54086810822</v>
      </c>
      <c r="D242" s="103">
        <f t="shared" si="25"/>
        <v>1244.5294817906613</v>
      </c>
      <c r="E242" s="104">
        <f t="shared" si="26"/>
        <v>0</v>
      </c>
      <c r="F242" s="103">
        <f t="shared" si="27"/>
        <v>1244.5294817906613</v>
      </c>
      <c r="G242" s="103">
        <f t="shared" si="28"/>
        <v>760.82564614376906</v>
      </c>
      <c r="H242" s="103">
        <f t="shared" si="31"/>
        <v>483.70383564689223</v>
      </c>
      <c r="I242" s="103">
        <f t="shared" si="29"/>
        <v>132674.71522196446</v>
      </c>
      <c r="J242" s="103">
        <f>SUM($H$18:$H242)</f>
        <v>162693.84862486325</v>
      </c>
    </row>
    <row r="243" spans="1:10" x14ac:dyDescent="0.2">
      <c r="A243" s="101">
        <f>IF(Values_Entered,A242+1,"")</f>
        <v>226</v>
      </c>
      <c r="B243" s="102">
        <f t="shared" si="24"/>
        <v>51410</v>
      </c>
      <c r="C243" s="103">
        <f t="shared" si="30"/>
        <v>132674.71522196446</v>
      </c>
      <c r="D243" s="103">
        <f t="shared" si="25"/>
        <v>1244.5294817906613</v>
      </c>
      <c r="E243" s="104">
        <f t="shared" si="26"/>
        <v>0</v>
      </c>
      <c r="F243" s="103">
        <f t="shared" si="27"/>
        <v>1244.5294817906613</v>
      </c>
      <c r="G243" s="103">
        <f t="shared" si="28"/>
        <v>763.58363911104016</v>
      </c>
      <c r="H243" s="103">
        <f t="shared" si="31"/>
        <v>480.94584267962114</v>
      </c>
      <c r="I243" s="103">
        <f t="shared" si="29"/>
        <v>131911.13158285341</v>
      </c>
      <c r="J243" s="103">
        <f>SUM($H$18:$H243)</f>
        <v>163174.79446754287</v>
      </c>
    </row>
    <row r="244" spans="1:10" x14ac:dyDescent="0.2">
      <c r="A244" s="101">
        <f>IF(Values_Entered,A243+1,"")</f>
        <v>227</v>
      </c>
      <c r="B244" s="102">
        <f t="shared" si="24"/>
        <v>51441</v>
      </c>
      <c r="C244" s="103">
        <f t="shared" si="30"/>
        <v>131911.13158285341</v>
      </c>
      <c r="D244" s="103">
        <f t="shared" si="25"/>
        <v>1244.5294817906613</v>
      </c>
      <c r="E244" s="104">
        <f t="shared" si="26"/>
        <v>0</v>
      </c>
      <c r="F244" s="103">
        <f t="shared" si="27"/>
        <v>1244.5294817906613</v>
      </c>
      <c r="G244" s="103">
        <f t="shared" si="28"/>
        <v>766.3516298028178</v>
      </c>
      <c r="H244" s="103">
        <f t="shared" si="31"/>
        <v>478.17785198784355</v>
      </c>
      <c r="I244" s="103">
        <f t="shared" si="29"/>
        <v>131144.7799530506</v>
      </c>
      <c r="J244" s="103">
        <f>SUM($H$18:$H244)</f>
        <v>163652.97231953073</v>
      </c>
    </row>
    <row r="245" spans="1:10" x14ac:dyDescent="0.2">
      <c r="A245" s="101">
        <f>IF(Values_Entered,A244+1,"")</f>
        <v>228</v>
      </c>
      <c r="B245" s="102">
        <f t="shared" si="24"/>
        <v>51471</v>
      </c>
      <c r="C245" s="103">
        <f t="shared" si="30"/>
        <v>131144.7799530506</v>
      </c>
      <c r="D245" s="103">
        <f t="shared" si="25"/>
        <v>1244.5294817906613</v>
      </c>
      <c r="E245" s="104">
        <f t="shared" si="26"/>
        <v>0</v>
      </c>
      <c r="F245" s="103">
        <f t="shared" si="27"/>
        <v>1244.5294817906613</v>
      </c>
      <c r="G245" s="103">
        <f t="shared" si="28"/>
        <v>769.12965446085286</v>
      </c>
      <c r="H245" s="103">
        <f t="shared" si="31"/>
        <v>475.39982732980843</v>
      </c>
      <c r="I245" s="103">
        <f t="shared" si="29"/>
        <v>130375.65029858975</v>
      </c>
      <c r="J245" s="103">
        <f>SUM($H$18:$H245)</f>
        <v>164128.37214686055</v>
      </c>
    </row>
    <row r="246" spans="1:10" x14ac:dyDescent="0.2">
      <c r="A246" s="101">
        <f>IF(Values_Entered,A245+1,"")</f>
        <v>229</v>
      </c>
      <c r="B246" s="102">
        <f t="shared" si="24"/>
        <v>51502</v>
      </c>
      <c r="C246" s="103">
        <f t="shared" si="30"/>
        <v>130375.65029858975</v>
      </c>
      <c r="D246" s="103">
        <f t="shared" si="25"/>
        <v>1244.5294817906613</v>
      </c>
      <c r="E246" s="104">
        <f t="shared" si="26"/>
        <v>0</v>
      </c>
      <c r="F246" s="103">
        <f t="shared" si="27"/>
        <v>1244.5294817906613</v>
      </c>
      <c r="G246" s="103">
        <f t="shared" si="28"/>
        <v>771.91774945827342</v>
      </c>
      <c r="H246" s="103">
        <f t="shared" si="31"/>
        <v>472.61173233238782</v>
      </c>
      <c r="I246" s="103">
        <f t="shared" si="29"/>
        <v>129603.73254913148</v>
      </c>
      <c r="J246" s="103">
        <f>SUM($H$18:$H246)</f>
        <v>164600.98387919294</v>
      </c>
    </row>
    <row r="247" spans="1:10" x14ac:dyDescent="0.2">
      <c r="A247" s="101">
        <f>IF(Values_Entered,A246+1,"")</f>
        <v>230</v>
      </c>
      <c r="B247" s="102">
        <f t="shared" si="24"/>
        <v>51533</v>
      </c>
      <c r="C247" s="103">
        <f t="shared" si="30"/>
        <v>129603.73254913148</v>
      </c>
      <c r="D247" s="103">
        <f t="shared" si="25"/>
        <v>1244.5294817906613</v>
      </c>
      <c r="E247" s="104">
        <f t="shared" si="26"/>
        <v>0</v>
      </c>
      <c r="F247" s="103">
        <f t="shared" si="27"/>
        <v>1244.5294817906613</v>
      </c>
      <c r="G247" s="103">
        <f t="shared" si="28"/>
        <v>774.71595130005971</v>
      </c>
      <c r="H247" s="103">
        <f t="shared" si="31"/>
        <v>469.81353049060158</v>
      </c>
      <c r="I247" s="103">
        <f t="shared" si="29"/>
        <v>128829.01659783142</v>
      </c>
      <c r="J247" s="103">
        <f>SUM($H$18:$H247)</f>
        <v>165070.79740968352</v>
      </c>
    </row>
    <row r="248" spans="1:10" x14ac:dyDescent="0.2">
      <c r="A248" s="101">
        <f>IF(Values_Entered,A247+1,"")</f>
        <v>231</v>
      </c>
      <c r="B248" s="102">
        <f t="shared" si="24"/>
        <v>51561</v>
      </c>
      <c r="C248" s="103">
        <f t="shared" si="30"/>
        <v>128829.01659783142</v>
      </c>
      <c r="D248" s="103">
        <f t="shared" si="25"/>
        <v>1244.5294817906613</v>
      </c>
      <c r="E248" s="104">
        <f t="shared" si="26"/>
        <v>0</v>
      </c>
      <c r="F248" s="103">
        <f t="shared" si="27"/>
        <v>1244.5294817906613</v>
      </c>
      <c r="G248" s="103">
        <f t="shared" si="28"/>
        <v>777.52429662352233</v>
      </c>
      <c r="H248" s="103">
        <f t="shared" si="31"/>
        <v>467.0051851671389</v>
      </c>
      <c r="I248" s="103">
        <f t="shared" si="29"/>
        <v>128051.49230120789</v>
      </c>
      <c r="J248" s="103">
        <f>SUM($H$18:$H248)</f>
        <v>165537.80259485065</v>
      </c>
    </row>
    <row r="249" spans="1:10" x14ac:dyDescent="0.2">
      <c r="A249" s="101">
        <f>IF(Values_Entered,A248+1,"")</f>
        <v>232</v>
      </c>
      <c r="B249" s="102">
        <f t="shared" si="24"/>
        <v>51592</v>
      </c>
      <c r="C249" s="103">
        <f t="shared" si="30"/>
        <v>128051.49230120789</v>
      </c>
      <c r="D249" s="103">
        <f t="shared" si="25"/>
        <v>1244.5294817906613</v>
      </c>
      <c r="E249" s="104">
        <f t="shared" si="26"/>
        <v>0</v>
      </c>
      <c r="F249" s="103">
        <f t="shared" si="27"/>
        <v>1244.5294817906613</v>
      </c>
      <c r="G249" s="103">
        <f t="shared" si="28"/>
        <v>780.34282219878264</v>
      </c>
      <c r="H249" s="103">
        <f t="shared" si="31"/>
        <v>464.18665959187859</v>
      </c>
      <c r="I249" s="103">
        <f t="shared" si="29"/>
        <v>127271.14947900911</v>
      </c>
      <c r="J249" s="103">
        <f>SUM($H$18:$H249)</f>
        <v>166001.98925444254</v>
      </c>
    </row>
    <row r="250" spans="1:10" x14ac:dyDescent="0.2">
      <c r="A250" s="101">
        <f>IF(Values_Entered,A249+1,"")</f>
        <v>233</v>
      </c>
      <c r="B250" s="102">
        <f t="shared" si="24"/>
        <v>51622</v>
      </c>
      <c r="C250" s="103">
        <f t="shared" si="30"/>
        <v>127271.14947900911</v>
      </c>
      <c r="D250" s="103">
        <f t="shared" si="25"/>
        <v>1244.5294817906613</v>
      </c>
      <c r="E250" s="104">
        <f t="shared" si="26"/>
        <v>0</v>
      </c>
      <c r="F250" s="103">
        <f t="shared" si="27"/>
        <v>1244.5294817906613</v>
      </c>
      <c r="G250" s="103">
        <f t="shared" si="28"/>
        <v>783.17156492925324</v>
      </c>
      <c r="H250" s="103">
        <f t="shared" si="31"/>
        <v>461.357916861408</v>
      </c>
      <c r="I250" s="103">
        <f t="shared" si="29"/>
        <v>126487.97791407985</v>
      </c>
      <c r="J250" s="103">
        <f>SUM($H$18:$H250)</f>
        <v>166463.34717130393</v>
      </c>
    </row>
    <row r="251" spans="1:10" x14ac:dyDescent="0.2">
      <c r="A251" s="101">
        <f>IF(Values_Entered,A250+1,"")</f>
        <v>234</v>
      </c>
      <c r="B251" s="102">
        <f t="shared" si="24"/>
        <v>51653</v>
      </c>
      <c r="C251" s="103">
        <f t="shared" si="30"/>
        <v>126487.97791407985</v>
      </c>
      <c r="D251" s="103">
        <f t="shared" si="25"/>
        <v>1244.5294817906613</v>
      </c>
      <c r="E251" s="104">
        <f t="shared" si="26"/>
        <v>0</v>
      </c>
      <c r="F251" s="103">
        <f t="shared" si="27"/>
        <v>1244.5294817906613</v>
      </c>
      <c r="G251" s="103">
        <f t="shared" si="28"/>
        <v>786.01056185212178</v>
      </c>
      <c r="H251" s="103">
        <f t="shared" si="31"/>
        <v>458.51891993853945</v>
      </c>
      <c r="I251" s="103">
        <f t="shared" si="29"/>
        <v>125701.96735222773</v>
      </c>
      <c r="J251" s="103">
        <f>SUM($H$18:$H251)</f>
        <v>166921.86609124247</v>
      </c>
    </row>
    <row r="252" spans="1:10" x14ac:dyDescent="0.2">
      <c r="A252" s="101">
        <f>IF(Values_Entered,A251+1,"")</f>
        <v>235</v>
      </c>
      <c r="B252" s="102">
        <f t="shared" si="24"/>
        <v>51683</v>
      </c>
      <c r="C252" s="103">
        <f t="shared" si="30"/>
        <v>125701.96735222773</v>
      </c>
      <c r="D252" s="103">
        <f t="shared" si="25"/>
        <v>1244.5294817906613</v>
      </c>
      <c r="E252" s="104">
        <f t="shared" si="26"/>
        <v>0</v>
      </c>
      <c r="F252" s="103">
        <f t="shared" si="27"/>
        <v>1244.5294817906613</v>
      </c>
      <c r="G252" s="103">
        <f t="shared" si="28"/>
        <v>788.85985013883578</v>
      </c>
      <c r="H252" s="103">
        <f t="shared" si="31"/>
        <v>455.66963165182551</v>
      </c>
      <c r="I252" s="103">
        <f t="shared" si="29"/>
        <v>124913.1075020889</v>
      </c>
      <c r="J252" s="103">
        <f>SUM($H$18:$H252)</f>
        <v>167377.5357228943</v>
      </c>
    </row>
    <row r="253" spans="1:10" x14ac:dyDescent="0.2">
      <c r="A253" s="101">
        <f>IF(Values_Entered,A252+1,"")</f>
        <v>236</v>
      </c>
      <c r="B253" s="102">
        <f t="shared" si="24"/>
        <v>51714</v>
      </c>
      <c r="C253" s="103">
        <f t="shared" si="30"/>
        <v>124913.1075020889</v>
      </c>
      <c r="D253" s="103">
        <f t="shared" si="25"/>
        <v>1244.5294817906613</v>
      </c>
      <c r="E253" s="104">
        <f t="shared" si="26"/>
        <v>0</v>
      </c>
      <c r="F253" s="103">
        <f t="shared" si="27"/>
        <v>1244.5294817906613</v>
      </c>
      <c r="G253" s="103">
        <f t="shared" si="28"/>
        <v>791.71946709558915</v>
      </c>
      <c r="H253" s="103">
        <f t="shared" si="31"/>
        <v>452.8100146950722</v>
      </c>
      <c r="I253" s="103">
        <f t="shared" si="29"/>
        <v>124121.3880349933</v>
      </c>
      <c r="J253" s="103">
        <f>SUM($H$18:$H253)</f>
        <v>167830.34573758938</v>
      </c>
    </row>
    <row r="254" spans="1:10" x14ac:dyDescent="0.2">
      <c r="A254" s="101">
        <f>IF(Values_Entered,A253+1,"")</f>
        <v>237</v>
      </c>
      <c r="B254" s="102">
        <f t="shared" si="24"/>
        <v>51745</v>
      </c>
      <c r="C254" s="103">
        <f t="shared" si="30"/>
        <v>124121.3880349933</v>
      </c>
      <c r="D254" s="103">
        <f t="shared" si="25"/>
        <v>1244.5294817906613</v>
      </c>
      <c r="E254" s="104">
        <f t="shared" si="26"/>
        <v>0</v>
      </c>
      <c r="F254" s="103">
        <f t="shared" si="27"/>
        <v>1244.5294817906613</v>
      </c>
      <c r="G254" s="103">
        <f t="shared" si="28"/>
        <v>794.58945016381062</v>
      </c>
      <c r="H254" s="103">
        <f t="shared" si="31"/>
        <v>449.94003162685067</v>
      </c>
      <c r="I254" s="103">
        <f t="shared" si="29"/>
        <v>123326.79858482949</v>
      </c>
      <c r="J254" s="103">
        <f>SUM($H$18:$H254)</f>
        <v>168280.28576921622</v>
      </c>
    </row>
    <row r="255" spans="1:10" x14ac:dyDescent="0.2">
      <c r="A255" s="101">
        <f>IF(Values_Entered,A254+1,"")</f>
        <v>238</v>
      </c>
      <c r="B255" s="102">
        <f t="shared" si="24"/>
        <v>51775</v>
      </c>
      <c r="C255" s="103">
        <f t="shared" si="30"/>
        <v>123326.79858482949</v>
      </c>
      <c r="D255" s="103">
        <f t="shared" si="25"/>
        <v>1244.5294817906613</v>
      </c>
      <c r="E255" s="104">
        <f t="shared" si="26"/>
        <v>0</v>
      </c>
      <c r="F255" s="103">
        <f t="shared" si="27"/>
        <v>1244.5294817906613</v>
      </c>
      <c r="G255" s="103">
        <f t="shared" si="28"/>
        <v>797.46983692065442</v>
      </c>
      <c r="H255" s="103">
        <f t="shared" si="31"/>
        <v>447.05964487000688</v>
      </c>
      <c r="I255" s="103">
        <f t="shared" si="29"/>
        <v>122529.32874790883</v>
      </c>
      <c r="J255" s="103">
        <f>SUM($H$18:$H255)</f>
        <v>168727.34541408622</v>
      </c>
    </row>
    <row r="256" spans="1:10" x14ac:dyDescent="0.2">
      <c r="A256" s="101">
        <f>IF(Values_Entered,A255+1,"")</f>
        <v>239</v>
      </c>
      <c r="B256" s="102">
        <f t="shared" si="24"/>
        <v>51806</v>
      </c>
      <c r="C256" s="103">
        <f t="shared" si="30"/>
        <v>122529.32874790883</v>
      </c>
      <c r="D256" s="103">
        <f t="shared" si="25"/>
        <v>1244.5294817906613</v>
      </c>
      <c r="E256" s="104">
        <f t="shared" si="26"/>
        <v>0</v>
      </c>
      <c r="F256" s="103">
        <f t="shared" si="27"/>
        <v>1244.5294817906613</v>
      </c>
      <c r="G256" s="103">
        <f t="shared" si="28"/>
        <v>800.36066507949181</v>
      </c>
      <c r="H256" s="103">
        <f t="shared" si="31"/>
        <v>444.16881671116948</v>
      </c>
      <c r="I256" s="103">
        <f t="shared" si="29"/>
        <v>121728.96808282933</v>
      </c>
      <c r="J256" s="103">
        <f>SUM($H$18:$H256)</f>
        <v>169171.51423079739</v>
      </c>
    </row>
    <row r="257" spans="1:10" x14ac:dyDescent="0.2">
      <c r="A257" s="101">
        <f>IF(Values_Entered,A256+1,"")</f>
        <v>240</v>
      </c>
      <c r="B257" s="102">
        <f t="shared" si="24"/>
        <v>51836</v>
      </c>
      <c r="C257" s="103">
        <f t="shared" si="30"/>
        <v>121728.96808282933</v>
      </c>
      <c r="D257" s="103">
        <f t="shared" si="25"/>
        <v>1244.5294817906613</v>
      </c>
      <c r="E257" s="104">
        <f t="shared" si="26"/>
        <v>0</v>
      </c>
      <c r="F257" s="103">
        <f t="shared" si="27"/>
        <v>1244.5294817906613</v>
      </c>
      <c r="G257" s="103">
        <f t="shared" si="28"/>
        <v>803.26197249040501</v>
      </c>
      <c r="H257" s="103">
        <f t="shared" si="31"/>
        <v>441.26750930025628</v>
      </c>
      <c r="I257" s="103">
        <f t="shared" si="29"/>
        <v>120925.70611033893</v>
      </c>
      <c r="J257" s="103">
        <f>SUM($H$18:$H257)</f>
        <v>169612.78174009765</v>
      </c>
    </row>
    <row r="258" spans="1:10" x14ac:dyDescent="0.2">
      <c r="A258" s="101">
        <f>IF(Values_Entered,A257+1,"")</f>
        <v>241</v>
      </c>
      <c r="B258" s="102">
        <f t="shared" si="24"/>
        <v>51867</v>
      </c>
      <c r="C258" s="103">
        <f t="shared" si="30"/>
        <v>120925.70611033893</v>
      </c>
      <c r="D258" s="103">
        <f t="shared" si="25"/>
        <v>1244.5294817906613</v>
      </c>
      <c r="E258" s="104">
        <f t="shared" si="26"/>
        <v>0</v>
      </c>
      <c r="F258" s="103">
        <f t="shared" si="27"/>
        <v>1244.5294817906613</v>
      </c>
      <c r="G258" s="103">
        <f t="shared" si="28"/>
        <v>806.17379714068261</v>
      </c>
      <c r="H258" s="103">
        <f t="shared" si="31"/>
        <v>438.35568464997863</v>
      </c>
      <c r="I258" s="103">
        <f t="shared" si="29"/>
        <v>120119.53231319824</v>
      </c>
      <c r="J258" s="103">
        <f>SUM($H$18:$H258)</f>
        <v>170051.13742474763</v>
      </c>
    </row>
    <row r="259" spans="1:10" x14ac:dyDescent="0.2">
      <c r="A259" s="101">
        <f>IF(Values_Entered,A258+1,"")</f>
        <v>242</v>
      </c>
      <c r="B259" s="102">
        <f t="shared" si="24"/>
        <v>51898</v>
      </c>
      <c r="C259" s="103">
        <f t="shared" si="30"/>
        <v>120119.53231319824</v>
      </c>
      <c r="D259" s="103">
        <f t="shared" si="25"/>
        <v>1244.5294817906613</v>
      </c>
      <c r="E259" s="104">
        <f t="shared" si="26"/>
        <v>0</v>
      </c>
      <c r="F259" s="103">
        <f t="shared" si="27"/>
        <v>1244.5294817906613</v>
      </c>
      <c r="G259" s="103">
        <f t="shared" si="28"/>
        <v>809.09617715531772</v>
      </c>
      <c r="H259" s="103">
        <f t="shared" si="31"/>
        <v>435.43330463534357</v>
      </c>
      <c r="I259" s="103">
        <f t="shared" si="29"/>
        <v>119310.43613604293</v>
      </c>
      <c r="J259" s="103">
        <f>SUM($H$18:$H259)</f>
        <v>170486.57072938298</v>
      </c>
    </row>
    <row r="260" spans="1:10" x14ac:dyDescent="0.2">
      <c r="A260" s="101">
        <f>IF(Values_Entered,A259+1,"")</f>
        <v>243</v>
      </c>
      <c r="B260" s="102">
        <f t="shared" si="24"/>
        <v>51926</v>
      </c>
      <c r="C260" s="103">
        <f t="shared" si="30"/>
        <v>119310.43613604293</v>
      </c>
      <c r="D260" s="103">
        <f t="shared" si="25"/>
        <v>1244.5294817906613</v>
      </c>
      <c r="E260" s="104">
        <f t="shared" si="26"/>
        <v>0</v>
      </c>
      <c r="F260" s="103">
        <f t="shared" si="27"/>
        <v>1244.5294817906613</v>
      </c>
      <c r="G260" s="103">
        <f t="shared" si="28"/>
        <v>812.02915079750574</v>
      </c>
      <c r="H260" s="103">
        <f t="shared" si="31"/>
        <v>432.50033099315561</v>
      </c>
      <c r="I260" s="103">
        <f t="shared" si="29"/>
        <v>118498.40698524543</v>
      </c>
      <c r="J260" s="103">
        <f>SUM($H$18:$H260)</f>
        <v>170919.07106037613</v>
      </c>
    </row>
    <row r="261" spans="1:10" x14ac:dyDescent="0.2">
      <c r="A261" s="101">
        <f>IF(Values_Entered,A260+1,"")</f>
        <v>244</v>
      </c>
      <c r="B261" s="102">
        <f t="shared" si="24"/>
        <v>51957</v>
      </c>
      <c r="C261" s="103">
        <f t="shared" si="30"/>
        <v>118498.40698524543</v>
      </c>
      <c r="D261" s="103">
        <f t="shared" si="25"/>
        <v>1244.5294817906613</v>
      </c>
      <c r="E261" s="104">
        <f t="shared" si="26"/>
        <v>0</v>
      </c>
      <c r="F261" s="103">
        <f t="shared" si="27"/>
        <v>1244.5294817906613</v>
      </c>
      <c r="G261" s="103">
        <f t="shared" si="28"/>
        <v>814.97275646914659</v>
      </c>
      <c r="H261" s="103">
        <f t="shared" si="31"/>
        <v>429.55672532151465</v>
      </c>
      <c r="I261" s="103">
        <f t="shared" si="29"/>
        <v>117683.43422877628</v>
      </c>
      <c r="J261" s="103">
        <f>SUM($H$18:$H261)</f>
        <v>171348.62778569764</v>
      </c>
    </row>
    <row r="262" spans="1:10" x14ac:dyDescent="0.2">
      <c r="A262" s="101">
        <f>IF(Values_Entered,A261+1,"")</f>
        <v>245</v>
      </c>
      <c r="B262" s="102">
        <f t="shared" si="24"/>
        <v>51987</v>
      </c>
      <c r="C262" s="103">
        <f t="shared" si="30"/>
        <v>117683.43422877628</v>
      </c>
      <c r="D262" s="103">
        <f t="shared" si="25"/>
        <v>1244.5294817906613</v>
      </c>
      <c r="E262" s="104">
        <f t="shared" si="26"/>
        <v>0</v>
      </c>
      <c r="F262" s="103">
        <f t="shared" si="27"/>
        <v>1244.5294817906613</v>
      </c>
      <c r="G262" s="103">
        <f t="shared" si="28"/>
        <v>817.92703271134724</v>
      </c>
      <c r="H262" s="103">
        <f t="shared" si="31"/>
        <v>426.602449079314</v>
      </c>
      <c r="I262" s="103">
        <f t="shared" si="29"/>
        <v>116865.50719606494</v>
      </c>
      <c r="J262" s="103">
        <f>SUM($H$18:$H262)</f>
        <v>171775.23023477694</v>
      </c>
    </row>
    <row r="263" spans="1:10" x14ac:dyDescent="0.2">
      <c r="A263" s="101">
        <f>IF(Values_Entered,A262+1,"")</f>
        <v>246</v>
      </c>
      <c r="B263" s="102">
        <f t="shared" si="24"/>
        <v>52018</v>
      </c>
      <c r="C263" s="103">
        <f t="shared" si="30"/>
        <v>116865.50719606494</v>
      </c>
      <c r="D263" s="103">
        <f t="shared" si="25"/>
        <v>1244.5294817906613</v>
      </c>
      <c r="E263" s="104">
        <f t="shared" si="26"/>
        <v>0</v>
      </c>
      <c r="F263" s="103">
        <f t="shared" si="27"/>
        <v>1244.5294817906613</v>
      </c>
      <c r="G263" s="103">
        <f t="shared" si="28"/>
        <v>820.89201820492599</v>
      </c>
      <c r="H263" s="103">
        <f t="shared" si="31"/>
        <v>423.63746358573536</v>
      </c>
      <c r="I263" s="103">
        <f t="shared" si="29"/>
        <v>116044.61517786002</v>
      </c>
      <c r="J263" s="103">
        <f>SUM($H$18:$H263)</f>
        <v>172198.86769836268</v>
      </c>
    </row>
    <row r="264" spans="1:10" x14ac:dyDescent="0.2">
      <c r="A264" s="101">
        <f>IF(Values_Entered,A263+1,"")</f>
        <v>247</v>
      </c>
      <c r="B264" s="102">
        <f t="shared" si="24"/>
        <v>52048</v>
      </c>
      <c r="C264" s="103">
        <f t="shared" si="30"/>
        <v>116044.61517786002</v>
      </c>
      <c r="D264" s="103">
        <f t="shared" si="25"/>
        <v>1244.5294817906613</v>
      </c>
      <c r="E264" s="104">
        <f t="shared" si="26"/>
        <v>0</v>
      </c>
      <c r="F264" s="103">
        <f t="shared" si="27"/>
        <v>1244.5294817906613</v>
      </c>
      <c r="G264" s="103">
        <f t="shared" si="28"/>
        <v>823.86775177091886</v>
      </c>
      <c r="H264" s="103">
        <f t="shared" si="31"/>
        <v>420.66173001974249</v>
      </c>
      <c r="I264" s="103">
        <f t="shared" si="29"/>
        <v>115220.7474260891</v>
      </c>
      <c r="J264" s="103">
        <f>SUM($H$18:$H264)</f>
        <v>172619.52942838243</v>
      </c>
    </row>
    <row r="265" spans="1:10" x14ac:dyDescent="0.2">
      <c r="A265" s="101">
        <f>IF(Values_Entered,A264+1,"")</f>
        <v>248</v>
      </c>
      <c r="B265" s="102">
        <f t="shared" si="24"/>
        <v>52079</v>
      </c>
      <c r="C265" s="103">
        <f t="shared" si="30"/>
        <v>115220.7474260891</v>
      </c>
      <c r="D265" s="103">
        <f t="shared" si="25"/>
        <v>1244.5294817906613</v>
      </c>
      <c r="E265" s="104">
        <f t="shared" si="26"/>
        <v>0</v>
      </c>
      <c r="F265" s="103">
        <f t="shared" si="27"/>
        <v>1244.5294817906613</v>
      </c>
      <c r="G265" s="103">
        <f t="shared" si="28"/>
        <v>826.85427237108843</v>
      </c>
      <c r="H265" s="103">
        <f t="shared" si="31"/>
        <v>417.67520941957292</v>
      </c>
      <c r="I265" s="103">
        <f t="shared" si="29"/>
        <v>114393.89315371802</v>
      </c>
      <c r="J265" s="103">
        <f>SUM($H$18:$H265)</f>
        <v>173037.204637802</v>
      </c>
    </row>
    <row r="266" spans="1:10" x14ac:dyDescent="0.2">
      <c r="A266" s="101">
        <f>IF(Values_Entered,A265+1,"")</f>
        <v>249</v>
      </c>
      <c r="B266" s="102">
        <f t="shared" si="24"/>
        <v>52110</v>
      </c>
      <c r="C266" s="103">
        <f t="shared" si="30"/>
        <v>114393.89315371802</v>
      </c>
      <c r="D266" s="103">
        <f t="shared" si="25"/>
        <v>1244.5294817906613</v>
      </c>
      <c r="E266" s="104">
        <f t="shared" si="26"/>
        <v>0</v>
      </c>
      <c r="F266" s="103">
        <f t="shared" si="27"/>
        <v>1244.5294817906613</v>
      </c>
      <c r="G266" s="103">
        <f t="shared" si="28"/>
        <v>829.8516191084334</v>
      </c>
      <c r="H266" s="103">
        <f t="shared" si="31"/>
        <v>414.67786268222784</v>
      </c>
      <c r="I266" s="103">
        <f t="shared" si="29"/>
        <v>113564.04153460958</v>
      </c>
      <c r="J266" s="103">
        <f>SUM($H$18:$H266)</f>
        <v>173451.88250048424</v>
      </c>
    </row>
    <row r="267" spans="1:10" x14ac:dyDescent="0.2">
      <c r="A267" s="101">
        <f>IF(Values_Entered,A266+1,"")</f>
        <v>250</v>
      </c>
      <c r="B267" s="102">
        <f t="shared" si="24"/>
        <v>52140</v>
      </c>
      <c r="C267" s="103">
        <f t="shared" si="30"/>
        <v>113564.04153460958</v>
      </c>
      <c r="D267" s="103">
        <f t="shared" si="25"/>
        <v>1244.5294817906613</v>
      </c>
      <c r="E267" s="104">
        <f t="shared" si="26"/>
        <v>0</v>
      </c>
      <c r="F267" s="103">
        <f t="shared" si="27"/>
        <v>1244.5294817906613</v>
      </c>
      <c r="G267" s="103">
        <f t="shared" si="28"/>
        <v>832.85983122770153</v>
      </c>
      <c r="H267" s="103">
        <f t="shared" si="31"/>
        <v>411.6696505629597</v>
      </c>
      <c r="I267" s="103">
        <f t="shared" si="29"/>
        <v>112731.18170338188</v>
      </c>
      <c r="J267" s="103">
        <f>SUM($H$18:$H267)</f>
        <v>173863.55215104719</v>
      </c>
    </row>
    <row r="268" spans="1:10" x14ac:dyDescent="0.2">
      <c r="A268" s="101">
        <f>IF(Values_Entered,A267+1,"")</f>
        <v>251</v>
      </c>
      <c r="B268" s="102">
        <f t="shared" si="24"/>
        <v>52171</v>
      </c>
      <c r="C268" s="103">
        <f t="shared" si="30"/>
        <v>112731.18170338188</v>
      </c>
      <c r="D268" s="103">
        <f t="shared" si="25"/>
        <v>1244.5294817906613</v>
      </c>
      <c r="E268" s="104">
        <f t="shared" si="26"/>
        <v>0</v>
      </c>
      <c r="F268" s="103">
        <f t="shared" si="27"/>
        <v>1244.5294817906613</v>
      </c>
      <c r="G268" s="103">
        <f t="shared" si="28"/>
        <v>835.87894811590195</v>
      </c>
      <c r="H268" s="103">
        <f t="shared" si="31"/>
        <v>408.65053367475929</v>
      </c>
      <c r="I268" s="103">
        <f t="shared" si="29"/>
        <v>111895.30275526598</v>
      </c>
      <c r="J268" s="103">
        <f>SUM($H$18:$H268)</f>
        <v>174272.20268472194</v>
      </c>
    </row>
    <row r="269" spans="1:10" x14ac:dyDescent="0.2">
      <c r="A269" s="101">
        <f>IF(Values_Entered,A268+1,"")</f>
        <v>252</v>
      </c>
      <c r="B269" s="102">
        <f t="shared" si="24"/>
        <v>52201</v>
      </c>
      <c r="C269" s="103">
        <f t="shared" si="30"/>
        <v>111895.30275526598</v>
      </c>
      <c r="D269" s="103">
        <f t="shared" si="25"/>
        <v>1244.5294817906613</v>
      </c>
      <c r="E269" s="104">
        <f t="shared" si="26"/>
        <v>0</v>
      </c>
      <c r="F269" s="103">
        <f t="shared" si="27"/>
        <v>1244.5294817906613</v>
      </c>
      <c r="G269" s="103">
        <f t="shared" si="28"/>
        <v>838.90900930282214</v>
      </c>
      <c r="H269" s="103">
        <f t="shared" si="31"/>
        <v>405.62047248783915</v>
      </c>
      <c r="I269" s="103">
        <f t="shared" si="29"/>
        <v>111056.39374596316</v>
      </c>
      <c r="J269" s="103">
        <f>SUM($H$18:$H269)</f>
        <v>174677.82315720979</v>
      </c>
    </row>
    <row r="270" spans="1:10" x14ac:dyDescent="0.2">
      <c r="A270" s="101">
        <f>IF(Values_Entered,A269+1,"")</f>
        <v>253</v>
      </c>
      <c r="B270" s="102">
        <f t="shared" si="24"/>
        <v>52232</v>
      </c>
      <c r="C270" s="103">
        <f t="shared" si="30"/>
        <v>111056.39374596316</v>
      </c>
      <c r="D270" s="103">
        <f t="shared" si="25"/>
        <v>1244.5294817906613</v>
      </c>
      <c r="E270" s="104">
        <f t="shared" si="26"/>
        <v>0</v>
      </c>
      <c r="F270" s="103">
        <f t="shared" si="27"/>
        <v>1244.5294817906613</v>
      </c>
      <c r="G270" s="103">
        <f t="shared" si="28"/>
        <v>841.95005446154482</v>
      </c>
      <c r="H270" s="103">
        <f t="shared" si="31"/>
        <v>402.57942732911641</v>
      </c>
      <c r="I270" s="103">
        <f t="shared" si="29"/>
        <v>110214.44369150161</v>
      </c>
      <c r="J270" s="103">
        <f>SUM($H$18:$H270)</f>
        <v>175080.40258453891</v>
      </c>
    </row>
    <row r="271" spans="1:10" x14ac:dyDescent="0.2">
      <c r="A271" s="101">
        <f>IF(Values_Entered,A270+1,"")</f>
        <v>254</v>
      </c>
      <c r="B271" s="102">
        <f t="shared" si="24"/>
        <v>52263</v>
      </c>
      <c r="C271" s="103">
        <f t="shared" si="30"/>
        <v>110214.44369150161</v>
      </c>
      <c r="D271" s="103">
        <f t="shared" si="25"/>
        <v>1244.5294817906613</v>
      </c>
      <c r="E271" s="104">
        <f t="shared" si="26"/>
        <v>0</v>
      </c>
      <c r="F271" s="103">
        <f t="shared" si="27"/>
        <v>1244.5294817906613</v>
      </c>
      <c r="G271" s="103">
        <f t="shared" si="28"/>
        <v>845.00212340896792</v>
      </c>
      <c r="H271" s="103">
        <f t="shared" si="31"/>
        <v>399.52735838169332</v>
      </c>
      <c r="I271" s="103">
        <f t="shared" si="29"/>
        <v>109369.44156809265</v>
      </c>
      <c r="J271" s="103">
        <f>SUM($H$18:$H271)</f>
        <v>175479.9299429206</v>
      </c>
    </row>
    <row r="272" spans="1:10" x14ac:dyDescent="0.2">
      <c r="A272" s="101">
        <f>IF(Values_Entered,A271+1,"")</f>
        <v>255</v>
      </c>
      <c r="B272" s="102">
        <f t="shared" si="24"/>
        <v>52291</v>
      </c>
      <c r="C272" s="103">
        <f t="shared" si="30"/>
        <v>109369.44156809265</v>
      </c>
      <c r="D272" s="103">
        <f t="shared" si="25"/>
        <v>1244.5294817906613</v>
      </c>
      <c r="E272" s="104">
        <f t="shared" si="26"/>
        <v>0</v>
      </c>
      <c r="F272" s="103">
        <f t="shared" si="27"/>
        <v>1244.5294817906613</v>
      </c>
      <c r="G272" s="103">
        <f t="shared" si="28"/>
        <v>848.06525610632548</v>
      </c>
      <c r="H272" s="103">
        <f t="shared" si="31"/>
        <v>396.46422568433582</v>
      </c>
      <c r="I272" s="103">
        <f t="shared" si="29"/>
        <v>108521.37631198631</v>
      </c>
      <c r="J272" s="103">
        <f>SUM($H$18:$H272)</f>
        <v>175876.39416860492</v>
      </c>
    </row>
    <row r="273" spans="1:10" x14ac:dyDescent="0.2">
      <c r="A273" s="101">
        <f>IF(Values_Entered,A272+1,"")</f>
        <v>256</v>
      </c>
      <c r="B273" s="102">
        <f t="shared" si="24"/>
        <v>52322</v>
      </c>
      <c r="C273" s="103">
        <f t="shared" si="30"/>
        <v>108521.37631198631</v>
      </c>
      <c r="D273" s="103">
        <f t="shared" si="25"/>
        <v>1244.5294817906613</v>
      </c>
      <c r="E273" s="104">
        <f t="shared" si="26"/>
        <v>0</v>
      </c>
      <c r="F273" s="103">
        <f t="shared" si="27"/>
        <v>1244.5294817906613</v>
      </c>
      <c r="G273" s="103">
        <f t="shared" si="28"/>
        <v>851.13949265971087</v>
      </c>
      <c r="H273" s="103">
        <f t="shared" si="31"/>
        <v>393.38998913095037</v>
      </c>
      <c r="I273" s="103">
        <f t="shared" si="29"/>
        <v>107670.2368193266</v>
      </c>
      <c r="J273" s="103">
        <f>SUM($H$18:$H273)</f>
        <v>176269.78415773588</v>
      </c>
    </row>
    <row r="274" spans="1:10" x14ac:dyDescent="0.2">
      <c r="A274" s="101">
        <f>IF(Values_Entered,A273+1,"")</f>
        <v>257</v>
      </c>
      <c r="B274" s="102">
        <f t="shared" ref="B274:B337" si="32">IF(Pay_Num&lt;&gt;"",DATE(YEAR(Loan_Start),MONTH(Loan_Start)+(Pay_Num)*12/Num_Pmt_Per_Year,DAY(Loan_Start)),"")</f>
        <v>52352</v>
      </c>
      <c r="C274" s="103">
        <f t="shared" si="30"/>
        <v>107670.2368193266</v>
      </c>
      <c r="D274" s="103">
        <f t="shared" ref="D274:D337" si="33">IF(Pay_Num&lt;&gt;"",Scheduled_Monthly_Payment,"")</f>
        <v>1244.5294817906613</v>
      </c>
      <c r="E274" s="104">
        <f t="shared" ref="E274:E337" si="34">IF(AND(Pay_Num&lt;&gt;"",Sched_Pay+Scheduled_Extra_Payments&lt;Beg_Bal),Scheduled_Extra_Payments,IF(AND(Pay_Num&lt;&gt;"",Beg_Bal-Sched_Pay&gt;0),Beg_Bal-Sched_Pay,IF(Pay_Num&lt;&gt;"",0,"")))</f>
        <v>0</v>
      </c>
      <c r="F274" s="103">
        <f t="shared" ref="F274:F337" si="35">IF(AND(Pay_Num&lt;&gt;"",Sched_Pay+Extra_Pay&lt;Beg_Bal),Sched_Pay+Extra_Pay,IF(Pay_Num&lt;&gt;"",Beg_Bal,""))</f>
        <v>1244.5294817906613</v>
      </c>
      <c r="G274" s="103">
        <f t="shared" ref="G274:G337" si="36">IF(Pay_Num&lt;&gt;"",Total_Pay-Int,"")</f>
        <v>854.22487332060246</v>
      </c>
      <c r="H274" s="103">
        <f t="shared" si="31"/>
        <v>390.30460847005889</v>
      </c>
      <c r="I274" s="103">
        <f t="shared" ref="I274:I337" si="37">IF(AND(Pay_Num&lt;&gt;"",Sched_Pay+Extra_Pay&lt;Beg_Bal),Beg_Bal-Princ,IF(Pay_Num&lt;&gt;"",0,""))</f>
        <v>106816.01194600599</v>
      </c>
      <c r="J274" s="103">
        <f>SUM($H$18:$H274)</f>
        <v>176660.08876620594</v>
      </c>
    </row>
    <row r="275" spans="1:10" x14ac:dyDescent="0.2">
      <c r="A275" s="101">
        <f>IF(Values_Entered,A274+1,"")</f>
        <v>258</v>
      </c>
      <c r="B275" s="102">
        <f t="shared" si="32"/>
        <v>52383</v>
      </c>
      <c r="C275" s="103">
        <f t="shared" ref="C275:C338" si="38">IF(Pay_Num&lt;&gt;"",I274,"")</f>
        <v>106816.01194600599</v>
      </c>
      <c r="D275" s="103">
        <f t="shared" si="33"/>
        <v>1244.5294817906613</v>
      </c>
      <c r="E275" s="104">
        <f t="shared" si="34"/>
        <v>0</v>
      </c>
      <c r="F275" s="103">
        <f t="shared" si="35"/>
        <v>1244.5294817906613</v>
      </c>
      <c r="G275" s="103">
        <f t="shared" si="36"/>
        <v>857.32143848638952</v>
      </c>
      <c r="H275" s="103">
        <f t="shared" ref="H275:H338" si="39">IF(Pay_Num&lt;&gt;"",Beg_Bal*Interest_Rate/Num_Pmt_Per_Year,"")</f>
        <v>387.20804330427171</v>
      </c>
      <c r="I275" s="103">
        <f t="shared" si="37"/>
        <v>105958.69050751961</v>
      </c>
      <c r="J275" s="103">
        <f>SUM($H$18:$H275)</f>
        <v>177047.29680951021</v>
      </c>
    </row>
    <row r="276" spans="1:10" x14ac:dyDescent="0.2">
      <c r="A276" s="101">
        <f>IF(Values_Entered,A275+1,"")</f>
        <v>259</v>
      </c>
      <c r="B276" s="102">
        <f t="shared" si="32"/>
        <v>52413</v>
      </c>
      <c r="C276" s="103">
        <f t="shared" si="38"/>
        <v>105958.69050751961</v>
      </c>
      <c r="D276" s="103">
        <f t="shared" si="33"/>
        <v>1244.5294817906613</v>
      </c>
      <c r="E276" s="104">
        <f t="shared" si="34"/>
        <v>0</v>
      </c>
      <c r="F276" s="103">
        <f t="shared" si="35"/>
        <v>1244.5294817906613</v>
      </c>
      <c r="G276" s="103">
        <f t="shared" si="36"/>
        <v>860.42922870090274</v>
      </c>
      <c r="H276" s="103">
        <f t="shared" si="39"/>
        <v>384.10025308975855</v>
      </c>
      <c r="I276" s="103">
        <f t="shared" si="37"/>
        <v>105098.26127881871</v>
      </c>
      <c r="J276" s="103">
        <f>SUM($H$18:$H276)</f>
        <v>177431.39706259998</v>
      </c>
    </row>
    <row r="277" spans="1:10" x14ac:dyDescent="0.2">
      <c r="A277" s="101">
        <f>IF(Values_Entered,A276+1,"")</f>
        <v>260</v>
      </c>
      <c r="B277" s="102">
        <f t="shared" si="32"/>
        <v>52444</v>
      </c>
      <c r="C277" s="103">
        <f t="shared" si="38"/>
        <v>105098.26127881871</v>
      </c>
      <c r="D277" s="103">
        <f t="shared" si="33"/>
        <v>1244.5294817906613</v>
      </c>
      <c r="E277" s="104">
        <f t="shared" si="34"/>
        <v>0</v>
      </c>
      <c r="F277" s="103">
        <f t="shared" si="35"/>
        <v>1244.5294817906613</v>
      </c>
      <c r="G277" s="103">
        <f t="shared" si="36"/>
        <v>863.54828465494347</v>
      </c>
      <c r="H277" s="103">
        <f t="shared" si="39"/>
        <v>380.98119713571782</v>
      </c>
      <c r="I277" s="103">
        <f t="shared" si="37"/>
        <v>104234.71299416377</v>
      </c>
      <c r="J277" s="103">
        <f>SUM($H$18:$H277)</f>
        <v>177812.37825973571</v>
      </c>
    </row>
    <row r="278" spans="1:10" x14ac:dyDescent="0.2">
      <c r="A278" s="101">
        <f>IF(Values_Entered,A277+1,"")</f>
        <v>261</v>
      </c>
      <c r="B278" s="102">
        <f t="shared" si="32"/>
        <v>52475</v>
      </c>
      <c r="C278" s="103">
        <f t="shared" si="38"/>
        <v>104234.71299416377</v>
      </c>
      <c r="D278" s="103">
        <f t="shared" si="33"/>
        <v>1244.5294817906613</v>
      </c>
      <c r="E278" s="104">
        <f t="shared" si="34"/>
        <v>0</v>
      </c>
      <c r="F278" s="103">
        <f t="shared" si="35"/>
        <v>1244.5294817906613</v>
      </c>
      <c r="G278" s="103">
        <f t="shared" si="36"/>
        <v>866.67864718681767</v>
      </c>
      <c r="H278" s="103">
        <f t="shared" si="39"/>
        <v>377.85083460384362</v>
      </c>
      <c r="I278" s="103">
        <f t="shared" si="37"/>
        <v>103368.03434697696</v>
      </c>
      <c r="J278" s="103">
        <f>SUM($H$18:$H278)</f>
        <v>178190.22909433956</v>
      </c>
    </row>
    <row r="279" spans="1:10" x14ac:dyDescent="0.2">
      <c r="A279" s="101">
        <f>IF(Values_Entered,A278+1,"")</f>
        <v>262</v>
      </c>
      <c r="B279" s="102">
        <f t="shared" si="32"/>
        <v>52505</v>
      </c>
      <c r="C279" s="103">
        <f t="shared" si="38"/>
        <v>103368.03434697696</v>
      </c>
      <c r="D279" s="103">
        <f t="shared" si="33"/>
        <v>1244.5294817906613</v>
      </c>
      <c r="E279" s="104">
        <f t="shared" si="34"/>
        <v>0</v>
      </c>
      <c r="F279" s="103">
        <f t="shared" si="35"/>
        <v>1244.5294817906613</v>
      </c>
      <c r="G279" s="103">
        <f t="shared" si="36"/>
        <v>869.82035728286974</v>
      </c>
      <c r="H279" s="103">
        <f t="shared" si="39"/>
        <v>374.7091245077915</v>
      </c>
      <c r="I279" s="103">
        <f t="shared" si="37"/>
        <v>102498.21398969409</v>
      </c>
      <c r="J279" s="103">
        <f>SUM($H$18:$H279)</f>
        <v>178564.93821884735</v>
      </c>
    </row>
    <row r="280" spans="1:10" x14ac:dyDescent="0.2">
      <c r="A280" s="101">
        <f>IF(Values_Entered,A279+1,"")</f>
        <v>263</v>
      </c>
      <c r="B280" s="102">
        <f t="shared" si="32"/>
        <v>52536</v>
      </c>
      <c r="C280" s="103">
        <f t="shared" si="38"/>
        <v>102498.21398969409</v>
      </c>
      <c r="D280" s="103">
        <f t="shared" si="33"/>
        <v>1244.5294817906613</v>
      </c>
      <c r="E280" s="104">
        <f t="shared" si="34"/>
        <v>0</v>
      </c>
      <c r="F280" s="103">
        <f t="shared" si="35"/>
        <v>1244.5294817906613</v>
      </c>
      <c r="G280" s="103">
        <f t="shared" si="36"/>
        <v>872.97345607802026</v>
      </c>
      <c r="H280" s="103">
        <f t="shared" si="39"/>
        <v>371.55602571264103</v>
      </c>
      <c r="I280" s="103">
        <f t="shared" si="37"/>
        <v>101625.24053361607</v>
      </c>
      <c r="J280" s="103">
        <f>SUM($H$18:$H280)</f>
        <v>178936.49424455999</v>
      </c>
    </row>
    <row r="281" spans="1:10" x14ac:dyDescent="0.2">
      <c r="A281" s="101">
        <f>IF(Values_Entered,A280+1,"")</f>
        <v>264</v>
      </c>
      <c r="B281" s="102">
        <f t="shared" si="32"/>
        <v>52566</v>
      </c>
      <c r="C281" s="103">
        <f t="shared" si="38"/>
        <v>101625.24053361607</v>
      </c>
      <c r="D281" s="103">
        <f t="shared" si="33"/>
        <v>1244.5294817906613</v>
      </c>
      <c r="E281" s="104">
        <f t="shared" si="34"/>
        <v>0</v>
      </c>
      <c r="F281" s="103">
        <f t="shared" si="35"/>
        <v>1244.5294817906613</v>
      </c>
      <c r="G281" s="103">
        <f t="shared" si="36"/>
        <v>876.13798485630309</v>
      </c>
      <c r="H281" s="103">
        <f t="shared" si="39"/>
        <v>368.39149693435826</v>
      </c>
      <c r="I281" s="103">
        <f t="shared" si="37"/>
        <v>100749.10254875977</v>
      </c>
      <c r="J281" s="103">
        <f>SUM($H$18:$H281)</f>
        <v>179304.88574149433</v>
      </c>
    </row>
    <row r="282" spans="1:10" x14ac:dyDescent="0.2">
      <c r="A282" s="101">
        <f>IF(Values_Entered,A281+1,"")</f>
        <v>265</v>
      </c>
      <c r="B282" s="102">
        <f t="shared" si="32"/>
        <v>52597</v>
      </c>
      <c r="C282" s="103">
        <f t="shared" si="38"/>
        <v>100749.10254875977</v>
      </c>
      <c r="D282" s="103">
        <f t="shared" si="33"/>
        <v>1244.5294817906613</v>
      </c>
      <c r="E282" s="104">
        <f t="shared" si="34"/>
        <v>0</v>
      </c>
      <c r="F282" s="103">
        <f t="shared" si="35"/>
        <v>1244.5294817906613</v>
      </c>
      <c r="G282" s="103">
        <f t="shared" si="36"/>
        <v>879.31398505140714</v>
      </c>
      <c r="H282" s="103">
        <f t="shared" si="39"/>
        <v>365.21549673925415</v>
      </c>
      <c r="I282" s="103">
        <f t="shared" si="37"/>
        <v>99869.788563708353</v>
      </c>
      <c r="J282" s="103">
        <f>SUM($H$18:$H282)</f>
        <v>179670.10123823359</v>
      </c>
    </row>
    <row r="283" spans="1:10" x14ac:dyDescent="0.2">
      <c r="A283" s="101">
        <f>IF(Values_Entered,A282+1,"")</f>
        <v>266</v>
      </c>
      <c r="B283" s="102">
        <f t="shared" si="32"/>
        <v>52628</v>
      </c>
      <c r="C283" s="103">
        <f t="shared" si="38"/>
        <v>99869.788563708353</v>
      </c>
      <c r="D283" s="103">
        <f t="shared" si="33"/>
        <v>1244.5294817906613</v>
      </c>
      <c r="E283" s="104">
        <f t="shared" si="34"/>
        <v>0</v>
      </c>
      <c r="F283" s="103">
        <f t="shared" si="35"/>
        <v>1244.5294817906613</v>
      </c>
      <c r="G283" s="103">
        <f t="shared" si="36"/>
        <v>882.50149824721848</v>
      </c>
      <c r="H283" s="103">
        <f t="shared" si="39"/>
        <v>362.02798354344276</v>
      </c>
      <c r="I283" s="103">
        <f t="shared" si="37"/>
        <v>98987.287065461132</v>
      </c>
      <c r="J283" s="103">
        <f>SUM($H$18:$H283)</f>
        <v>180032.12922177702</v>
      </c>
    </row>
    <row r="284" spans="1:10" x14ac:dyDescent="0.2">
      <c r="A284" s="101">
        <f>IF(Values_Entered,A283+1,"")</f>
        <v>267</v>
      </c>
      <c r="B284" s="102">
        <f t="shared" si="32"/>
        <v>52657</v>
      </c>
      <c r="C284" s="103">
        <f t="shared" si="38"/>
        <v>98987.287065461132</v>
      </c>
      <c r="D284" s="103">
        <f t="shared" si="33"/>
        <v>1244.5294817906613</v>
      </c>
      <c r="E284" s="104">
        <f t="shared" si="34"/>
        <v>0</v>
      </c>
      <c r="F284" s="103">
        <f t="shared" si="35"/>
        <v>1244.5294817906613</v>
      </c>
      <c r="G284" s="103">
        <f t="shared" si="36"/>
        <v>885.70056617836462</v>
      </c>
      <c r="H284" s="103">
        <f t="shared" si="39"/>
        <v>358.82891561229661</v>
      </c>
      <c r="I284" s="103">
        <f t="shared" si="37"/>
        <v>98101.58649928277</v>
      </c>
      <c r="J284" s="103">
        <f>SUM($H$18:$H284)</f>
        <v>180390.95813738933</v>
      </c>
    </row>
    <row r="285" spans="1:10" x14ac:dyDescent="0.2">
      <c r="A285" s="101">
        <f>IF(Values_Entered,A284+1,"")</f>
        <v>268</v>
      </c>
      <c r="B285" s="102">
        <f t="shared" si="32"/>
        <v>52688</v>
      </c>
      <c r="C285" s="103">
        <f t="shared" si="38"/>
        <v>98101.58649928277</v>
      </c>
      <c r="D285" s="103">
        <f t="shared" si="33"/>
        <v>1244.5294817906613</v>
      </c>
      <c r="E285" s="104">
        <f t="shared" si="34"/>
        <v>0</v>
      </c>
      <c r="F285" s="103">
        <f t="shared" si="35"/>
        <v>1244.5294817906613</v>
      </c>
      <c r="G285" s="103">
        <f t="shared" si="36"/>
        <v>888.91123073076119</v>
      </c>
      <c r="H285" s="103">
        <f t="shared" si="39"/>
        <v>355.61825105990005</v>
      </c>
      <c r="I285" s="103">
        <f t="shared" si="37"/>
        <v>97212.675268552004</v>
      </c>
      <c r="J285" s="103">
        <f>SUM($H$18:$H285)</f>
        <v>180746.57638844923</v>
      </c>
    </row>
    <row r="286" spans="1:10" x14ac:dyDescent="0.2">
      <c r="A286" s="101">
        <f>IF(Values_Entered,A285+1,"")</f>
        <v>269</v>
      </c>
      <c r="B286" s="102">
        <f t="shared" si="32"/>
        <v>52718</v>
      </c>
      <c r="C286" s="103">
        <f t="shared" si="38"/>
        <v>97212.675268552004</v>
      </c>
      <c r="D286" s="103">
        <f t="shared" si="33"/>
        <v>1244.5294817906613</v>
      </c>
      <c r="E286" s="104">
        <f t="shared" si="34"/>
        <v>0</v>
      </c>
      <c r="F286" s="103">
        <f t="shared" si="35"/>
        <v>1244.5294817906613</v>
      </c>
      <c r="G286" s="103">
        <f t="shared" si="36"/>
        <v>892.13353394216028</v>
      </c>
      <c r="H286" s="103">
        <f t="shared" si="39"/>
        <v>352.39594784850101</v>
      </c>
      <c r="I286" s="103">
        <f t="shared" si="37"/>
        <v>96320.54173460984</v>
      </c>
      <c r="J286" s="103">
        <f>SUM($H$18:$H286)</f>
        <v>181098.97233629774</v>
      </c>
    </row>
    <row r="287" spans="1:10" x14ac:dyDescent="0.2">
      <c r="A287" s="101">
        <f>IF(Values_Entered,A286+1,"")</f>
        <v>270</v>
      </c>
      <c r="B287" s="102">
        <f t="shared" si="32"/>
        <v>52749</v>
      </c>
      <c r="C287" s="103">
        <f t="shared" si="38"/>
        <v>96320.54173460984</v>
      </c>
      <c r="D287" s="103">
        <f t="shared" si="33"/>
        <v>1244.5294817906613</v>
      </c>
      <c r="E287" s="104">
        <f t="shared" si="34"/>
        <v>0</v>
      </c>
      <c r="F287" s="103">
        <f t="shared" si="35"/>
        <v>1244.5294817906613</v>
      </c>
      <c r="G287" s="103">
        <f t="shared" si="36"/>
        <v>895.36751800270054</v>
      </c>
      <c r="H287" s="103">
        <f t="shared" si="39"/>
        <v>349.1619637879607</v>
      </c>
      <c r="I287" s="103">
        <f t="shared" si="37"/>
        <v>95425.174216607134</v>
      </c>
      <c r="J287" s="103">
        <f>SUM($H$18:$H287)</f>
        <v>181448.13430008569</v>
      </c>
    </row>
    <row r="288" spans="1:10" x14ac:dyDescent="0.2">
      <c r="A288" s="101">
        <f>IF(Values_Entered,A287+1,"")</f>
        <v>271</v>
      </c>
      <c r="B288" s="102">
        <f t="shared" si="32"/>
        <v>52779</v>
      </c>
      <c r="C288" s="103">
        <f t="shared" si="38"/>
        <v>95425.174216607134</v>
      </c>
      <c r="D288" s="103">
        <f t="shared" si="33"/>
        <v>1244.5294817906613</v>
      </c>
      <c r="E288" s="104">
        <f t="shared" si="34"/>
        <v>0</v>
      </c>
      <c r="F288" s="103">
        <f t="shared" si="35"/>
        <v>1244.5294817906613</v>
      </c>
      <c r="G288" s="103">
        <f t="shared" si="36"/>
        <v>898.61322525546052</v>
      </c>
      <c r="H288" s="103">
        <f t="shared" si="39"/>
        <v>345.91625653520083</v>
      </c>
      <c r="I288" s="103">
        <f t="shared" si="37"/>
        <v>94526.560991351667</v>
      </c>
      <c r="J288" s="103">
        <f>SUM($H$18:$H288)</f>
        <v>181794.05055662087</v>
      </c>
    </row>
    <row r="289" spans="1:10" x14ac:dyDescent="0.2">
      <c r="A289" s="101">
        <f>IF(Values_Entered,A288+1,"")</f>
        <v>272</v>
      </c>
      <c r="B289" s="102">
        <f t="shared" si="32"/>
        <v>52810</v>
      </c>
      <c r="C289" s="103">
        <f t="shared" si="38"/>
        <v>94526.560991351667</v>
      </c>
      <c r="D289" s="103">
        <f t="shared" si="33"/>
        <v>1244.5294817906613</v>
      </c>
      <c r="E289" s="104">
        <f t="shared" si="34"/>
        <v>0</v>
      </c>
      <c r="F289" s="103">
        <f t="shared" si="35"/>
        <v>1244.5294817906613</v>
      </c>
      <c r="G289" s="103">
        <f t="shared" si="36"/>
        <v>901.87069819701151</v>
      </c>
      <c r="H289" s="103">
        <f t="shared" si="39"/>
        <v>342.65878359364979</v>
      </c>
      <c r="I289" s="103">
        <f t="shared" si="37"/>
        <v>93624.69029315465</v>
      </c>
      <c r="J289" s="103">
        <f>SUM($H$18:$H289)</f>
        <v>182136.70934021453</v>
      </c>
    </row>
    <row r="290" spans="1:10" x14ac:dyDescent="0.2">
      <c r="A290" s="101">
        <f>IF(Values_Entered,A289+1,"")</f>
        <v>273</v>
      </c>
      <c r="B290" s="102">
        <f t="shared" si="32"/>
        <v>52841</v>
      </c>
      <c r="C290" s="103">
        <f t="shared" si="38"/>
        <v>93624.69029315465</v>
      </c>
      <c r="D290" s="103">
        <f t="shared" si="33"/>
        <v>1244.5294817906613</v>
      </c>
      <c r="E290" s="104">
        <f t="shared" si="34"/>
        <v>0</v>
      </c>
      <c r="F290" s="103">
        <f t="shared" si="35"/>
        <v>1244.5294817906613</v>
      </c>
      <c r="G290" s="103">
        <f t="shared" si="36"/>
        <v>905.13997947797566</v>
      </c>
      <c r="H290" s="103">
        <f t="shared" si="39"/>
        <v>339.38950231268558</v>
      </c>
      <c r="I290" s="103">
        <f t="shared" si="37"/>
        <v>92719.550313676678</v>
      </c>
      <c r="J290" s="103">
        <f>SUM($H$18:$H290)</f>
        <v>182476.09884252722</v>
      </c>
    </row>
    <row r="291" spans="1:10" x14ac:dyDescent="0.2">
      <c r="A291" s="101">
        <f>IF(Values_Entered,A290+1,"")</f>
        <v>274</v>
      </c>
      <c r="B291" s="102">
        <f t="shared" si="32"/>
        <v>52871</v>
      </c>
      <c r="C291" s="103">
        <f t="shared" si="38"/>
        <v>92719.550313676678</v>
      </c>
      <c r="D291" s="103">
        <f t="shared" si="33"/>
        <v>1244.5294817906613</v>
      </c>
      <c r="E291" s="104">
        <f t="shared" si="34"/>
        <v>0</v>
      </c>
      <c r="F291" s="103">
        <f t="shared" si="35"/>
        <v>1244.5294817906613</v>
      </c>
      <c r="G291" s="103">
        <f t="shared" si="36"/>
        <v>908.42111190358332</v>
      </c>
      <c r="H291" s="103">
        <f t="shared" si="39"/>
        <v>336.10836988707791</v>
      </c>
      <c r="I291" s="103">
        <f t="shared" si="37"/>
        <v>91811.129201773088</v>
      </c>
      <c r="J291" s="103">
        <f>SUM($H$18:$H291)</f>
        <v>182812.2072124143</v>
      </c>
    </row>
    <row r="292" spans="1:10" x14ac:dyDescent="0.2">
      <c r="A292" s="101">
        <f>IF(Values_Entered,A291+1,"")</f>
        <v>275</v>
      </c>
      <c r="B292" s="102">
        <f t="shared" si="32"/>
        <v>52902</v>
      </c>
      <c r="C292" s="103">
        <f t="shared" si="38"/>
        <v>91811.129201773088</v>
      </c>
      <c r="D292" s="103">
        <f t="shared" si="33"/>
        <v>1244.5294817906613</v>
      </c>
      <c r="E292" s="104">
        <f t="shared" si="34"/>
        <v>0</v>
      </c>
      <c r="F292" s="103">
        <f t="shared" si="35"/>
        <v>1244.5294817906613</v>
      </c>
      <c r="G292" s="103">
        <f t="shared" si="36"/>
        <v>911.71413843423386</v>
      </c>
      <c r="H292" s="103">
        <f t="shared" si="39"/>
        <v>332.81534335642743</v>
      </c>
      <c r="I292" s="103">
        <f t="shared" si="37"/>
        <v>90899.415063338849</v>
      </c>
      <c r="J292" s="103">
        <f>SUM($H$18:$H292)</f>
        <v>183145.02255577073</v>
      </c>
    </row>
    <row r="293" spans="1:10" x14ac:dyDescent="0.2">
      <c r="A293" s="101">
        <f>IF(Values_Entered,A292+1,"")</f>
        <v>276</v>
      </c>
      <c r="B293" s="102">
        <f t="shared" si="32"/>
        <v>52932</v>
      </c>
      <c r="C293" s="103">
        <f t="shared" si="38"/>
        <v>90899.415063338849</v>
      </c>
      <c r="D293" s="103">
        <f t="shared" si="33"/>
        <v>1244.5294817906613</v>
      </c>
      <c r="E293" s="104">
        <f t="shared" si="34"/>
        <v>0</v>
      </c>
      <c r="F293" s="103">
        <f t="shared" si="35"/>
        <v>1244.5294817906613</v>
      </c>
      <c r="G293" s="103">
        <f t="shared" si="36"/>
        <v>915.01910218605803</v>
      </c>
      <c r="H293" s="103">
        <f t="shared" si="39"/>
        <v>329.51037960460332</v>
      </c>
      <c r="I293" s="103">
        <f t="shared" si="37"/>
        <v>89984.395961152797</v>
      </c>
      <c r="J293" s="103">
        <f>SUM($H$18:$H293)</f>
        <v>183474.53293537535</v>
      </c>
    </row>
    <row r="294" spans="1:10" x14ac:dyDescent="0.2">
      <c r="A294" s="101">
        <f>IF(Values_Entered,A293+1,"")</f>
        <v>277</v>
      </c>
      <c r="B294" s="102">
        <f t="shared" si="32"/>
        <v>52963</v>
      </c>
      <c r="C294" s="103">
        <f t="shared" si="38"/>
        <v>89984.395961152797</v>
      </c>
      <c r="D294" s="103">
        <f t="shared" si="33"/>
        <v>1244.5294817906613</v>
      </c>
      <c r="E294" s="104">
        <f t="shared" si="34"/>
        <v>0</v>
      </c>
      <c r="F294" s="103">
        <f t="shared" si="35"/>
        <v>1244.5294817906613</v>
      </c>
      <c r="G294" s="103">
        <f t="shared" si="36"/>
        <v>918.33604643148237</v>
      </c>
      <c r="H294" s="103">
        <f t="shared" si="39"/>
        <v>326.19343535917886</v>
      </c>
      <c r="I294" s="103">
        <f t="shared" si="37"/>
        <v>89066.059914721322</v>
      </c>
      <c r="J294" s="103">
        <f>SUM($H$18:$H294)</f>
        <v>183800.72637073454</v>
      </c>
    </row>
    <row r="295" spans="1:10" x14ac:dyDescent="0.2">
      <c r="A295" s="101">
        <f>IF(Values_Entered,A294+1,"")</f>
        <v>278</v>
      </c>
      <c r="B295" s="102">
        <f t="shared" si="32"/>
        <v>52994</v>
      </c>
      <c r="C295" s="103">
        <f t="shared" si="38"/>
        <v>89066.059914721322</v>
      </c>
      <c r="D295" s="103">
        <f t="shared" si="33"/>
        <v>1244.5294817906613</v>
      </c>
      <c r="E295" s="104">
        <f t="shared" si="34"/>
        <v>0</v>
      </c>
      <c r="F295" s="103">
        <f t="shared" si="35"/>
        <v>1244.5294817906613</v>
      </c>
      <c r="G295" s="103">
        <f t="shared" si="36"/>
        <v>921.66501459979645</v>
      </c>
      <c r="H295" s="103">
        <f t="shared" si="39"/>
        <v>322.86446719086479</v>
      </c>
      <c r="I295" s="103">
        <f t="shared" si="37"/>
        <v>88144.394900121522</v>
      </c>
      <c r="J295" s="103">
        <f>SUM($H$18:$H295)</f>
        <v>184123.59083792541</v>
      </c>
    </row>
    <row r="296" spans="1:10" x14ac:dyDescent="0.2">
      <c r="A296" s="101">
        <f>IF(Values_Entered,A295+1,"")</f>
        <v>279</v>
      </c>
      <c r="B296" s="102">
        <f t="shared" si="32"/>
        <v>53022</v>
      </c>
      <c r="C296" s="103">
        <f t="shared" si="38"/>
        <v>88144.394900121522</v>
      </c>
      <c r="D296" s="103">
        <f t="shared" si="33"/>
        <v>1244.5294817906613</v>
      </c>
      <c r="E296" s="104">
        <f t="shared" si="34"/>
        <v>0</v>
      </c>
      <c r="F296" s="103">
        <f t="shared" si="35"/>
        <v>1244.5294817906613</v>
      </c>
      <c r="G296" s="103">
        <f t="shared" si="36"/>
        <v>925.00605027772076</v>
      </c>
      <c r="H296" s="103">
        <f t="shared" si="39"/>
        <v>319.52343151294048</v>
      </c>
      <c r="I296" s="103">
        <f t="shared" si="37"/>
        <v>87219.388849843803</v>
      </c>
      <c r="J296" s="103">
        <f>SUM($H$18:$H296)</f>
        <v>184443.11426943835</v>
      </c>
    </row>
    <row r="297" spans="1:10" x14ac:dyDescent="0.2">
      <c r="A297" s="101">
        <f>IF(Values_Entered,A296+1,"")</f>
        <v>280</v>
      </c>
      <c r="B297" s="102">
        <f t="shared" si="32"/>
        <v>53053</v>
      </c>
      <c r="C297" s="103">
        <f t="shared" si="38"/>
        <v>87219.388849843803</v>
      </c>
      <c r="D297" s="103">
        <f t="shared" si="33"/>
        <v>1244.5294817906613</v>
      </c>
      <c r="E297" s="104">
        <f t="shared" si="34"/>
        <v>0</v>
      </c>
      <c r="F297" s="103">
        <f t="shared" si="35"/>
        <v>1244.5294817906613</v>
      </c>
      <c r="G297" s="103">
        <f t="shared" si="36"/>
        <v>928.35919720997754</v>
      </c>
      <c r="H297" s="103">
        <f t="shared" si="39"/>
        <v>316.17028458068376</v>
      </c>
      <c r="I297" s="103">
        <f t="shared" si="37"/>
        <v>86291.029652633821</v>
      </c>
      <c r="J297" s="103">
        <f>SUM($H$18:$H297)</f>
        <v>184759.28455401902</v>
      </c>
    </row>
    <row r="298" spans="1:10" x14ac:dyDescent="0.2">
      <c r="A298" s="101">
        <f>IF(Values_Entered,A297+1,"")</f>
        <v>281</v>
      </c>
      <c r="B298" s="102">
        <f t="shared" si="32"/>
        <v>53083</v>
      </c>
      <c r="C298" s="103">
        <f t="shared" si="38"/>
        <v>86291.029652633821</v>
      </c>
      <c r="D298" s="103">
        <f t="shared" si="33"/>
        <v>1244.5294817906613</v>
      </c>
      <c r="E298" s="104">
        <f t="shared" si="34"/>
        <v>0</v>
      </c>
      <c r="F298" s="103">
        <f t="shared" si="35"/>
        <v>1244.5294817906613</v>
      </c>
      <c r="G298" s="103">
        <f t="shared" si="36"/>
        <v>931.72449929986374</v>
      </c>
      <c r="H298" s="103">
        <f t="shared" si="39"/>
        <v>312.80498249079761</v>
      </c>
      <c r="I298" s="103">
        <f t="shared" si="37"/>
        <v>85359.30515333396</v>
      </c>
      <c r="J298" s="103">
        <f>SUM($H$18:$H298)</f>
        <v>185072.08953650983</v>
      </c>
    </row>
    <row r="299" spans="1:10" x14ac:dyDescent="0.2">
      <c r="A299" s="101">
        <f>IF(Values_Entered,A298+1,"")</f>
        <v>282</v>
      </c>
      <c r="B299" s="102">
        <f t="shared" si="32"/>
        <v>53114</v>
      </c>
      <c r="C299" s="103">
        <f t="shared" si="38"/>
        <v>85359.30515333396</v>
      </c>
      <c r="D299" s="103">
        <f t="shared" si="33"/>
        <v>1244.5294817906613</v>
      </c>
      <c r="E299" s="104">
        <f t="shared" si="34"/>
        <v>0</v>
      </c>
      <c r="F299" s="103">
        <f t="shared" si="35"/>
        <v>1244.5294817906613</v>
      </c>
      <c r="G299" s="103">
        <f t="shared" si="36"/>
        <v>935.10200060982572</v>
      </c>
      <c r="H299" s="103">
        <f t="shared" si="39"/>
        <v>309.42748118083557</v>
      </c>
      <c r="I299" s="103">
        <f t="shared" si="37"/>
        <v>84424.203152724134</v>
      </c>
      <c r="J299" s="103">
        <f>SUM($H$18:$H299)</f>
        <v>185381.51701769067</v>
      </c>
    </row>
    <row r="300" spans="1:10" x14ac:dyDescent="0.2">
      <c r="A300" s="101">
        <f>IF(Values_Entered,A299+1,"")</f>
        <v>283</v>
      </c>
      <c r="B300" s="102">
        <f t="shared" si="32"/>
        <v>53144</v>
      </c>
      <c r="C300" s="103">
        <f t="shared" si="38"/>
        <v>84424.203152724134</v>
      </c>
      <c r="D300" s="103">
        <f t="shared" si="33"/>
        <v>1244.5294817906613</v>
      </c>
      <c r="E300" s="104">
        <f t="shared" si="34"/>
        <v>0</v>
      </c>
      <c r="F300" s="103">
        <f t="shared" si="35"/>
        <v>1244.5294817906613</v>
      </c>
      <c r="G300" s="103">
        <f t="shared" si="36"/>
        <v>938.49174536203634</v>
      </c>
      <c r="H300" s="103">
        <f t="shared" si="39"/>
        <v>306.03773642862495</v>
      </c>
      <c r="I300" s="103">
        <f t="shared" si="37"/>
        <v>83485.711407362105</v>
      </c>
      <c r="J300" s="103">
        <f>SUM($H$18:$H300)</f>
        <v>185687.55475411928</v>
      </c>
    </row>
    <row r="301" spans="1:10" x14ac:dyDescent="0.2">
      <c r="A301" s="101">
        <f>IF(Values_Entered,A300+1,"")</f>
        <v>284</v>
      </c>
      <c r="B301" s="102">
        <f t="shared" si="32"/>
        <v>53175</v>
      </c>
      <c r="C301" s="103">
        <f t="shared" si="38"/>
        <v>83485.711407362105</v>
      </c>
      <c r="D301" s="103">
        <f t="shared" si="33"/>
        <v>1244.5294817906613</v>
      </c>
      <c r="E301" s="104">
        <f t="shared" si="34"/>
        <v>0</v>
      </c>
      <c r="F301" s="103">
        <f t="shared" si="35"/>
        <v>1244.5294817906613</v>
      </c>
      <c r="G301" s="103">
        <f t="shared" si="36"/>
        <v>941.8937779389737</v>
      </c>
      <c r="H301" s="103">
        <f t="shared" si="39"/>
        <v>302.63570385168759</v>
      </c>
      <c r="I301" s="103">
        <f t="shared" si="37"/>
        <v>82543.817629423138</v>
      </c>
      <c r="J301" s="103">
        <f>SUM($H$18:$H301)</f>
        <v>185990.19045797098</v>
      </c>
    </row>
    <row r="302" spans="1:10" x14ac:dyDescent="0.2">
      <c r="A302" s="101">
        <f>IF(Values_Entered,A301+1,"")</f>
        <v>285</v>
      </c>
      <c r="B302" s="102">
        <f t="shared" si="32"/>
        <v>53206</v>
      </c>
      <c r="C302" s="103">
        <f t="shared" si="38"/>
        <v>82543.817629423138</v>
      </c>
      <c r="D302" s="103">
        <f t="shared" si="33"/>
        <v>1244.5294817906613</v>
      </c>
      <c r="E302" s="104">
        <f t="shared" si="34"/>
        <v>0</v>
      </c>
      <c r="F302" s="103">
        <f t="shared" si="35"/>
        <v>1244.5294817906613</v>
      </c>
      <c r="G302" s="103">
        <f t="shared" si="36"/>
        <v>945.30814288400245</v>
      </c>
      <c r="H302" s="103">
        <f t="shared" si="39"/>
        <v>299.22133890665884</v>
      </c>
      <c r="I302" s="103">
        <f t="shared" si="37"/>
        <v>81598.509486539129</v>
      </c>
      <c r="J302" s="103">
        <f>SUM($H$18:$H302)</f>
        <v>186289.41179687763</v>
      </c>
    </row>
    <row r="303" spans="1:10" x14ac:dyDescent="0.2">
      <c r="A303" s="101">
        <f>IF(Values_Entered,A302+1,"")</f>
        <v>286</v>
      </c>
      <c r="B303" s="102">
        <f t="shared" si="32"/>
        <v>53236</v>
      </c>
      <c r="C303" s="103">
        <f t="shared" si="38"/>
        <v>81598.509486539129</v>
      </c>
      <c r="D303" s="103">
        <f t="shared" si="33"/>
        <v>1244.5294817906613</v>
      </c>
      <c r="E303" s="104">
        <f t="shared" si="34"/>
        <v>0</v>
      </c>
      <c r="F303" s="103">
        <f t="shared" si="35"/>
        <v>1244.5294817906613</v>
      </c>
      <c r="G303" s="103">
        <f t="shared" si="36"/>
        <v>948.734884901957</v>
      </c>
      <c r="H303" s="103">
        <f t="shared" si="39"/>
        <v>295.79459688870435</v>
      </c>
      <c r="I303" s="103">
        <f t="shared" si="37"/>
        <v>80649.774601637168</v>
      </c>
      <c r="J303" s="103">
        <f>SUM($H$18:$H303)</f>
        <v>186585.20639376633</v>
      </c>
    </row>
    <row r="304" spans="1:10" x14ac:dyDescent="0.2">
      <c r="A304" s="101">
        <f>IF(Values_Entered,A303+1,"")</f>
        <v>287</v>
      </c>
      <c r="B304" s="102">
        <f t="shared" si="32"/>
        <v>53267</v>
      </c>
      <c r="C304" s="103">
        <f t="shared" si="38"/>
        <v>80649.774601637168</v>
      </c>
      <c r="D304" s="103">
        <f t="shared" si="33"/>
        <v>1244.5294817906613</v>
      </c>
      <c r="E304" s="104">
        <f t="shared" si="34"/>
        <v>0</v>
      </c>
      <c r="F304" s="103">
        <f t="shared" si="35"/>
        <v>1244.5294817906613</v>
      </c>
      <c r="G304" s="103">
        <f t="shared" si="36"/>
        <v>952.17404885972655</v>
      </c>
      <c r="H304" s="103">
        <f t="shared" si="39"/>
        <v>292.35543293093468</v>
      </c>
      <c r="I304" s="103">
        <f t="shared" si="37"/>
        <v>79697.60055277744</v>
      </c>
      <c r="J304" s="103">
        <f>SUM($H$18:$H304)</f>
        <v>186877.56182669726</v>
      </c>
    </row>
    <row r="305" spans="1:10" x14ac:dyDescent="0.2">
      <c r="A305" s="101">
        <f>IF(Values_Entered,A304+1,"")</f>
        <v>288</v>
      </c>
      <c r="B305" s="102">
        <f t="shared" si="32"/>
        <v>53297</v>
      </c>
      <c r="C305" s="103">
        <f t="shared" si="38"/>
        <v>79697.60055277744</v>
      </c>
      <c r="D305" s="103">
        <f t="shared" si="33"/>
        <v>1244.5294817906613</v>
      </c>
      <c r="E305" s="104">
        <f t="shared" si="34"/>
        <v>0</v>
      </c>
      <c r="F305" s="103">
        <f t="shared" si="35"/>
        <v>1244.5294817906613</v>
      </c>
      <c r="G305" s="103">
        <f t="shared" si="36"/>
        <v>955.62567978684308</v>
      </c>
      <c r="H305" s="103">
        <f t="shared" si="39"/>
        <v>288.90380200381821</v>
      </c>
      <c r="I305" s="103">
        <f t="shared" si="37"/>
        <v>78741.974872990599</v>
      </c>
      <c r="J305" s="103">
        <f>SUM($H$18:$H305)</f>
        <v>187166.46562870109</v>
      </c>
    </row>
    <row r="306" spans="1:10" x14ac:dyDescent="0.2">
      <c r="A306" s="101">
        <f>IF(Values_Entered,A305+1,"")</f>
        <v>289</v>
      </c>
      <c r="B306" s="102">
        <f t="shared" si="32"/>
        <v>53328</v>
      </c>
      <c r="C306" s="103">
        <f t="shared" si="38"/>
        <v>78741.974872990599</v>
      </c>
      <c r="D306" s="103">
        <f t="shared" si="33"/>
        <v>1244.5294817906613</v>
      </c>
      <c r="E306" s="104">
        <f t="shared" si="34"/>
        <v>0</v>
      </c>
      <c r="F306" s="103">
        <f t="shared" si="35"/>
        <v>1244.5294817906613</v>
      </c>
      <c r="G306" s="103">
        <f t="shared" si="36"/>
        <v>959.08982287607046</v>
      </c>
      <c r="H306" s="103">
        <f t="shared" si="39"/>
        <v>285.43965891459089</v>
      </c>
      <c r="I306" s="103">
        <f t="shared" si="37"/>
        <v>77782.885050114535</v>
      </c>
      <c r="J306" s="103">
        <f>SUM($H$18:$H306)</f>
        <v>187451.90528761569</v>
      </c>
    </row>
    <row r="307" spans="1:10" x14ac:dyDescent="0.2">
      <c r="A307" s="101">
        <f>IF(Values_Entered,A306+1,"")</f>
        <v>290</v>
      </c>
      <c r="B307" s="102">
        <f t="shared" si="32"/>
        <v>53359</v>
      </c>
      <c r="C307" s="103">
        <f t="shared" si="38"/>
        <v>77782.885050114535</v>
      </c>
      <c r="D307" s="103">
        <f t="shared" si="33"/>
        <v>1244.5294817906613</v>
      </c>
      <c r="E307" s="104">
        <f t="shared" si="34"/>
        <v>0</v>
      </c>
      <c r="F307" s="103">
        <f t="shared" si="35"/>
        <v>1244.5294817906613</v>
      </c>
      <c r="G307" s="103">
        <f t="shared" si="36"/>
        <v>962.56652348399621</v>
      </c>
      <c r="H307" s="103">
        <f t="shared" si="39"/>
        <v>281.96295830666514</v>
      </c>
      <c r="I307" s="103">
        <f t="shared" si="37"/>
        <v>76820.318526630537</v>
      </c>
      <c r="J307" s="103">
        <f>SUM($H$18:$H307)</f>
        <v>187733.86824592235</v>
      </c>
    </row>
    <row r="308" spans="1:10" x14ac:dyDescent="0.2">
      <c r="A308" s="101">
        <f>IF(Values_Entered,A307+1,"")</f>
        <v>291</v>
      </c>
      <c r="B308" s="102">
        <f t="shared" si="32"/>
        <v>53387</v>
      </c>
      <c r="C308" s="103">
        <f t="shared" si="38"/>
        <v>76820.318526630537</v>
      </c>
      <c r="D308" s="103">
        <f t="shared" si="33"/>
        <v>1244.5294817906613</v>
      </c>
      <c r="E308" s="104">
        <f t="shared" si="34"/>
        <v>0</v>
      </c>
      <c r="F308" s="103">
        <f t="shared" si="35"/>
        <v>1244.5294817906613</v>
      </c>
      <c r="G308" s="103">
        <f t="shared" si="36"/>
        <v>966.05582713162562</v>
      </c>
      <c r="H308" s="103">
        <f t="shared" si="39"/>
        <v>278.47365465903567</v>
      </c>
      <c r="I308" s="103">
        <f t="shared" si="37"/>
        <v>75854.262699498911</v>
      </c>
      <c r="J308" s="103">
        <f>SUM($H$18:$H308)</f>
        <v>188012.34190058138</v>
      </c>
    </row>
    <row r="309" spans="1:10" x14ac:dyDescent="0.2">
      <c r="A309" s="101">
        <f>IF(Values_Entered,A308+1,"")</f>
        <v>292</v>
      </c>
      <c r="B309" s="102">
        <f t="shared" si="32"/>
        <v>53418</v>
      </c>
      <c r="C309" s="103">
        <f t="shared" si="38"/>
        <v>75854.262699498911</v>
      </c>
      <c r="D309" s="103">
        <f t="shared" si="33"/>
        <v>1244.5294817906613</v>
      </c>
      <c r="E309" s="104">
        <f t="shared" si="34"/>
        <v>0</v>
      </c>
      <c r="F309" s="103">
        <f t="shared" si="35"/>
        <v>1244.5294817906613</v>
      </c>
      <c r="G309" s="103">
        <f t="shared" si="36"/>
        <v>969.55777950497782</v>
      </c>
      <c r="H309" s="103">
        <f t="shared" si="39"/>
        <v>274.97170228568353</v>
      </c>
      <c r="I309" s="103">
        <f t="shared" si="37"/>
        <v>74884.704919993936</v>
      </c>
      <c r="J309" s="103">
        <f>SUM($H$18:$H309)</f>
        <v>188287.31360286707</v>
      </c>
    </row>
    <row r="310" spans="1:10" x14ac:dyDescent="0.2">
      <c r="A310" s="101">
        <f>IF(Values_Entered,A309+1,"")</f>
        <v>293</v>
      </c>
      <c r="B310" s="102">
        <f t="shared" si="32"/>
        <v>53448</v>
      </c>
      <c r="C310" s="103">
        <f t="shared" si="38"/>
        <v>74884.704919993936</v>
      </c>
      <c r="D310" s="103">
        <f t="shared" si="33"/>
        <v>1244.5294817906613</v>
      </c>
      <c r="E310" s="104">
        <f t="shared" si="34"/>
        <v>0</v>
      </c>
      <c r="F310" s="103">
        <f t="shared" si="35"/>
        <v>1244.5294817906613</v>
      </c>
      <c r="G310" s="103">
        <f t="shared" si="36"/>
        <v>973.07242645568328</v>
      </c>
      <c r="H310" s="103">
        <f t="shared" si="39"/>
        <v>271.45705533497801</v>
      </c>
      <c r="I310" s="103">
        <f t="shared" si="37"/>
        <v>73911.632493538258</v>
      </c>
      <c r="J310" s="103">
        <f>SUM($H$18:$H310)</f>
        <v>188558.77065820206</v>
      </c>
    </row>
    <row r="311" spans="1:10" x14ac:dyDescent="0.2">
      <c r="A311" s="101">
        <f>IF(Values_Entered,A310+1,"")</f>
        <v>294</v>
      </c>
      <c r="B311" s="102">
        <f t="shared" si="32"/>
        <v>53479</v>
      </c>
      <c r="C311" s="103">
        <f t="shared" si="38"/>
        <v>73911.632493538258</v>
      </c>
      <c r="D311" s="103">
        <f t="shared" si="33"/>
        <v>1244.5294817906613</v>
      </c>
      <c r="E311" s="104">
        <f t="shared" si="34"/>
        <v>0</v>
      </c>
      <c r="F311" s="103">
        <f t="shared" si="35"/>
        <v>1244.5294817906613</v>
      </c>
      <c r="G311" s="103">
        <f t="shared" si="36"/>
        <v>976.59981400158517</v>
      </c>
      <c r="H311" s="103">
        <f t="shared" si="39"/>
        <v>267.92966778907618</v>
      </c>
      <c r="I311" s="103">
        <f t="shared" si="37"/>
        <v>72935.032679536671</v>
      </c>
      <c r="J311" s="103">
        <f>SUM($H$18:$H311)</f>
        <v>188826.70032599114</v>
      </c>
    </row>
    <row r="312" spans="1:10" x14ac:dyDescent="0.2">
      <c r="A312" s="101">
        <f>IF(Values_Entered,A311+1,"")</f>
        <v>295</v>
      </c>
      <c r="B312" s="102">
        <f t="shared" si="32"/>
        <v>53509</v>
      </c>
      <c r="C312" s="103">
        <f t="shared" si="38"/>
        <v>72935.032679536671</v>
      </c>
      <c r="D312" s="103">
        <f t="shared" si="33"/>
        <v>1244.5294817906613</v>
      </c>
      <c r="E312" s="104">
        <f t="shared" si="34"/>
        <v>0</v>
      </c>
      <c r="F312" s="103">
        <f t="shared" si="35"/>
        <v>1244.5294817906613</v>
      </c>
      <c r="G312" s="103">
        <f t="shared" si="36"/>
        <v>980.13998832734092</v>
      </c>
      <c r="H312" s="103">
        <f t="shared" si="39"/>
        <v>264.38949346332043</v>
      </c>
      <c r="I312" s="103">
        <f t="shared" si="37"/>
        <v>71954.89269120933</v>
      </c>
      <c r="J312" s="103">
        <f>SUM($H$18:$H312)</f>
        <v>189091.08981945447</v>
      </c>
    </row>
    <row r="313" spans="1:10" x14ac:dyDescent="0.2">
      <c r="A313" s="101">
        <f>IF(Values_Entered,A312+1,"")</f>
        <v>296</v>
      </c>
      <c r="B313" s="102">
        <f t="shared" si="32"/>
        <v>53540</v>
      </c>
      <c r="C313" s="103">
        <f t="shared" si="38"/>
        <v>71954.89269120933</v>
      </c>
      <c r="D313" s="103">
        <f t="shared" si="33"/>
        <v>1244.5294817906613</v>
      </c>
      <c r="E313" s="104">
        <f t="shared" si="34"/>
        <v>0</v>
      </c>
      <c r="F313" s="103">
        <f t="shared" si="35"/>
        <v>1244.5294817906613</v>
      </c>
      <c r="G313" s="103">
        <f t="shared" si="36"/>
        <v>983.69299578502751</v>
      </c>
      <c r="H313" s="103">
        <f t="shared" si="39"/>
        <v>260.83648600563379</v>
      </c>
      <c r="I313" s="103">
        <f t="shared" si="37"/>
        <v>70971.199695424308</v>
      </c>
      <c r="J313" s="103">
        <f>SUM($H$18:$H313)</f>
        <v>189351.9263054601</v>
      </c>
    </row>
    <row r="314" spans="1:10" x14ac:dyDescent="0.2">
      <c r="A314" s="101">
        <f>IF(Values_Entered,A313+1,"")</f>
        <v>297</v>
      </c>
      <c r="B314" s="102">
        <f t="shared" si="32"/>
        <v>53571</v>
      </c>
      <c r="C314" s="103">
        <f t="shared" si="38"/>
        <v>70971.199695424308</v>
      </c>
      <c r="D314" s="103">
        <f t="shared" si="33"/>
        <v>1244.5294817906613</v>
      </c>
      <c r="E314" s="104">
        <f t="shared" si="34"/>
        <v>0</v>
      </c>
      <c r="F314" s="103">
        <f t="shared" si="35"/>
        <v>1244.5294817906613</v>
      </c>
      <c r="G314" s="103">
        <f t="shared" si="36"/>
        <v>987.25888289474824</v>
      </c>
      <c r="H314" s="103">
        <f t="shared" si="39"/>
        <v>257.27059889591311</v>
      </c>
      <c r="I314" s="103">
        <f t="shared" si="37"/>
        <v>69983.940812529559</v>
      </c>
      <c r="J314" s="103">
        <f>SUM($H$18:$H314)</f>
        <v>189609.19690435601</v>
      </c>
    </row>
    <row r="315" spans="1:10" x14ac:dyDescent="0.2">
      <c r="A315" s="101">
        <f>IF(Values_Entered,A314+1,"")</f>
        <v>298</v>
      </c>
      <c r="B315" s="102">
        <f t="shared" si="32"/>
        <v>53601</v>
      </c>
      <c r="C315" s="103">
        <f t="shared" si="38"/>
        <v>69983.940812529559</v>
      </c>
      <c r="D315" s="103">
        <f t="shared" si="33"/>
        <v>1244.5294817906613</v>
      </c>
      <c r="E315" s="104">
        <f t="shared" si="34"/>
        <v>0</v>
      </c>
      <c r="F315" s="103">
        <f t="shared" si="35"/>
        <v>1244.5294817906613</v>
      </c>
      <c r="G315" s="103">
        <f t="shared" si="36"/>
        <v>990.83769634524162</v>
      </c>
      <c r="H315" s="103">
        <f t="shared" si="39"/>
        <v>253.69178544541964</v>
      </c>
      <c r="I315" s="103">
        <f t="shared" si="37"/>
        <v>68993.103116184313</v>
      </c>
      <c r="J315" s="103">
        <f>SUM($H$18:$H315)</f>
        <v>189862.88868980142</v>
      </c>
    </row>
    <row r="316" spans="1:10" x14ac:dyDescent="0.2">
      <c r="A316" s="101">
        <f>IF(Values_Entered,A315+1,"")</f>
        <v>299</v>
      </c>
      <c r="B316" s="102">
        <f t="shared" si="32"/>
        <v>53632</v>
      </c>
      <c r="C316" s="103">
        <f t="shared" si="38"/>
        <v>68993.103116184313</v>
      </c>
      <c r="D316" s="103">
        <f t="shared" si="33"/>
        <v>1244.5294817906613</v>
      </c>
      <c r="E316" s="104">
        <f t="shared" si="34"/>
        <v>0</v>
      </c>
      <c r="F316" s="103">
        <f t="shared" si="35"/>
        <v>1244.5294817906613</v>
      </c>
      <c r="G316" s="103">
        <f t="shared" si="36"/>
        <v>994.42948299449313</v>
      </c>
      <c r="H316" s="103">
        <f t="shared" si="39"/>
        <v>250.09999879616814</v>
      </c>
      <c r="I316" s="103">
        <f t="shared" si="37"/>
        <v>67998.673633189814</v>
      </c>
      <c r="J316" s="103">
        <f>SUM($H$18:$H316)</f>
        <v>190112.98868859757</v>
      </c>
    </row>
    <row r="317" spans="1:10" x14ac:dyDescent="0.2">
      <c r="A317" s="101">
        <f>IF(Values_Entered,A316+1,"")</f>
        <v>300</v>
      </c>
      <c r="B317" s="102">
        <f t="shared" si="32"/>
        <v>53662</v>
      </c>
      <c r="C317" s="103">
        <f t="shared" si="38"/>
        <v>67998.673633189814</v>
      </c>
      <c r="D317" s="103">
        <f t="shared" si="33"/>
        <v>1244.5294817906613</v>
      </c>
      <c r="E317" s="104">
        <f t="shared" si="34"/>
        <v>0</v>
      </c>
      <c r="F317" s="103">
        <f t="shared" si="35"/>
        <v>1244.5294817906613</v>
      </c>
      <c r="G317" s="103">
        <f t="shared" si="36"/>
        <v>998.03428987034829</v>
      </c>
      <c r="H317" s="103">
        <f t="shared" si="39"/>
        <v>246.49519192031303</v>
      </c>
      <c r="I317" s="103">
        <f t="shared" si="37"/>
        <v>67000.639343319461</v>
      </c>
      <c r="J317" s="103">
        <f>SUM($H$18:$H317)</f>
        <v>190359.48388051789</v>
      </c>
    </row>
    <row r="318" spans="1:10" x14ac:dyDescent="0.2">
      <c r="A318" s="101">
        <f>IF(Values_Entered,A317+1,"")</f>
        <v>301</v>
      </c>
      <c r="B318" s="102">
        <f t="shared" si="32"/>
        <v>53693</v>
      </c>
      <c r="C318" s="103">
        <f t="shared" si="38"/>
        <v>67000.639343319461</v>
      </c>
      <c r="D318" s="103">
        <f t="shared" si="33"/>
        <v>1244.5294817906613</v>
      </c>
      <c r="E318" s="104">
        <f t="shared" si="34"/>
        <v>0</v>
      </c>
      <c r="F318" s="103">
        <f t="shared" si="35"/>
        <v>1244.5294817906613</v>
      </c>
      <c r="G318" s="103">
        <f t="shared" si="36"/>
        <v>1001.6521641711282</v>
      </c>
      <c r="H318" s="103">
        <f t="shared" si="39"/>
        <v>242.87731761953304</v>
      </c>
      <c r="I318" s="103">
        <f t="shared" si="37"/>
        <v>65998.987179148331</v>
      </c>
      <c r="J318" s="103">
        <f>SUM($H$18:$H318)</f>
        <v>190602.36119813743</v>
      </c>
    </row>
    <row r="319" spans="1:10" x14ac:dyDescent="0.2">
      <c r="A319" s="101">
        <f>IF(Values_Entered,A318+1,"")</f>
        <v>302</v>
      </c>
      <c r="B319" s="102">
        <f t="shared" si="32"/>
        <v>53724</v>
      </c>
      <c r="C319" s="103">
        <f t="shared" si="38"/>
        <v>65998.987179148331</v>
      </c>
      <c r="D319" s="103">
        <f t="shared" si="33"/>
        <v>1244.5294817906613</v>
      </c>
      <c r="E319" s="104">
        <f t="shared" si="34"/>
        <v>0</v>
      </c>
      <c r="F319" s="103">
        <f t="shared" si="35"/>
        <v>1244.5294817906613</v>
      </c>
      <c r="G319" s="103">
        <f t="shared" si="36"/>
        <v>1005.2831532662486</v>
      </c>
      <c r="H319" s="103">
        <f t="shared" si="39"/>
        <v>239.24632852441269</v>
      </c>
      <c r="I319" s="103">
        <f t="shared" si="37"/>
        <v>64993.704025882085</v>
      </c>
      <c r="J319" s="103">
        <f>SUM($H$18:$H319)</f>
        <v>190841.60752666183</v>
      </c>
    </row>
    <row r="320" spans="1:10" x14ac:dyDescent="0.2">
      <c r="A320" s="101">
        <f>IF(Values_Entered,A319+1,"")</f>
        <v>303</v>
      </c>
      <c r="B320" s="102">
        <f t="shared" si="32"/>
        <v>53752</v>
      </c>
      <c r="C320" s="103">
        <f t="shared" si="38"/>
        <v>64993.704025882085</v>
      </c>
      <c r="D320" s="103">
        <f t="shared" si="33"/>
        <v>1244.5294817906613</v>
      </c>
      <c r="E320" s="104">
        <f t="shared" si="34"/>
        <v>0</v>
      </c>
      <c r="F320" s="103">
        <f t="shared" si="35"/>
        <v>1244.5294817906613</v>
      </c>
      <c r="G320" s="103">
        <f t="shared" si="36"/>
        <v>1008.9273046968387</v>
      </c>
      <c r="H320" s="103">
        <f t="shared" si="39"/>
        <v>235.60217709382255</v>
      </c>
      <c r="I320" s="103">
        <f t="shared" si="37"/>
        <v>63984.776721185248</v>
      </c>
      <c r="J320" s="103">
        <f>SUM($H$18:$H320)</f>
        <v>191077.20970375565</v>
      </c>
    </row>
    <row r="321" spans="1:10" x14ac:dyDescent="0.2">
      <c r="A321" s="101">
        <f>IF(Values_Entered,A320+1,"")</f>
        <v>304</v>
      </c>
      <c r="B321" s="102">
        <f t="shared" si="32"/>
        <v>53783</v>
      </c>
      <c r="C321" s="103">
        <f t="shared" si="38"/>
        <v>63984.776721185248</v>
      </c>
      <c r="D321" s="103">
        <f t="shared" si="33"/>
        <v>1244.5294817906613</v>
      </c>
      <c r="E321" s="104">
        <f t="shared" si="34"/>
        <v>0</v>
      </c>
      <c r="F321" s="103">
        <f t="shared" si="35"/>
        <v>1244.5294817906613</v>
      </c>
      <c r="G321" s="103">
        <f t="shared" si="36"/>
        <v>1012.5846661763647</v>
      </c>
      <c r="H321" s="103">
        <f t="shared" si="39"/>
        <v>231.94481561429652</v>
      </c>
      <c r="I321" s="103">
        <f t="shared" si="37"/>
        <v>62972.192055008883</v>
      </c>
      <c r="J321" s="103">
        <f>SUM($H$18:$H321)</f>
        <v>191309.15451936994</v>
      </c>
    </row>
    <row r="322" spans="1:10" x14ac:dyDescent="0.2">
      <c r="A322" s="101">
        <f>IF(Values_Entered,A321+1,"")</f>
        <v>305</v>
      </c>
      <c r="B322" s="102">
        <f t="shared" si="32"/>
        <v>53813</v>
      </c>
      <c r="C322" s="103">
        <f t="shared" si="38"/>
        <v>62972.192055008883</v>
      </c>
      <c r="D322" s="103">
        <f t="shared" si="33"/>
        <v>1244.5294817906613</v>
      </c>
      <c r="E322" s="104">
        <f t="shared" si="34"/>
        <v>0</v>
      </c>
      <c r="F322" s="103">
        <f t="shared" si="35"/>
        <v>1244.5294817906613</v>
      </c>
      <c r="G322" s="103">
        <f t="shared" si="36"/>
        <v>1016.2552855912541</v>
      </c>
      <c r="H322" s="103">
        <f t="shared" si="39"/>
        <v>228.27419619940721</v>
      </c>
      <c r="I322" s="103">
        <f t="shared" si="37"/>
        <v>61955.936769417633</v>
      </c>
      <c r="J322" s="103">
        <f>SUM($H$18:$H322)</f>
        <v>191537.42871556935</v>
      </c>
    </row>
    <row r="323" spans="1:10" x14ac:dyDescent="0.2">
      <c r="A323" s="101">
        <f>IF(Values_Entered,A322+1,"")</f>
        <v>306</v>
      </c>
      <c r="B323" s="102">
        <f t="shared" si="32"/>
        <v>53844</v>
      </c>
      <c r="C323" s="103">
        <f t="shared" si="38"/>
        <v>61955.936769417633</v>
      </c>
      <c r="D323" s="103">
        <f t="shared" si="33"/>
        <v>1244.5294817906613</v>
      </c>
      <c r="E323" s="104">
        <f t="shared" si="34"/>
        <v>0</v>
      </c>
      <c r="F323" s="103">
        <f t="shared" si="35"/>
        <v>1244.5294817906613</v>
      </c>
      <c r="G323" s="103">
        <f t="shared" si="36"/>
        <v>1019.9392110015224</v>
      </c>
      <c r="H323" s="103">
        <f t="shared" si="39"/>
        <v>224.59027078913891</v>
      </c>
      <c r="I323" s="103">
        <f t="shared" si="37"/>
        <v>60935.997558416107</v>
      </c>
      <c r="J323" s="103">
        <f>SUM($H$18:$H323)</f>
        <v>191762.01898635848</v>
      </c>
    </row>
    <row r="324" spans="1:10" x14ac:dyDescent="0.2">
      <c r="A324" s="101">
        <f>IF(Values_Entered,A323+1,"")</f>
        <v>307</v>
      </c>
      <c r="B324" s="102">
        <f t="shared" si="32"/>
        <v>53874</v>
      </c>
      <c r="C324" s="103">
        <f t="shared" si="38"/>
        <v>60935.997558416107</v>
      </c>
      <c r="D324" s="103">
        <f t="shared" si="33"/>
        <v>1244.5294817906613</v>
      </c>
      <c r="E324" s="104">
        <f t="shared" si="34"/>
        <v>0</v>
      </c>
      <c r="F324" s="103">
        <f t="shared" si="35"/>
        <v>1244.5294817906613</v>
      </c>
      <c r="G324" s="103">
        <f t="shared" si="36"/>
        <v>1023.6364906414029</v>
      </c>
      <c r="H324" s="103">
        <f t="shared" si="39"/>
        <v>220.89299114925836</v>
      </c>
      <c r="I324" s="103">
        <f t="shared" si="37"/>
        <v>59912.361067774706</v>
      </c>
      <c r="J324" s="103">
        <f>SUM($H$18:$H324)</f>
        <v>191982.91197750773</v>
      </c>
    </row>
    <row r="325" spans="1:10" x14ac:dyDescent="0.2">
      <c r="A325" s="101">
        <f>IF(Values_Entered,A324+1,"")</f>
        <v>308</v>
      </c>
      <c r="B325" s="102">
        <f t="shared" si="32"/>
        <v>53905</v>
      </c>
      <c r="C325" s="103">
        <f t="shared" si="38"/>
        <v>59912.361067774706</v>
      </c>
      <c r="D325" s="103">
        <f t="shared" si="33"/>
        <v>1244.5294817906613</v>
      </c>
      <c r="E325" s="104">
        <f t="shared" si="34"/>
        <v>0</v>
      </c>
      <c r="F325" s="103">
        <f t="shared" si="35"/>
        <v>1244.5294817906613</v>
      </c>
      <c r="G325" s="103">
        <f t="shared" si="36"/>
        <v>1027.347172919978</v>
      </c>
      <c r="H325" s="103">
        <f t="shared" si="39"/>
        <v>217.1823088706833</v>
      </c>
      <c r="I325" s="103">
        <f t="shared" si="37"/>
        <v>58885.013894854725</v>
      </c>
      <c r="J325" s="103">
        <f>SUM($H$18:$H325)</f>
        <v>192200.09428637841</v>
      </c>
    </row>
    <row r="326" spans="1:10" x14ac:dyDescent="0.2">
      <c r="A326" s="101">
        <f>IF(Values_Entered,A325+1,"")</f>
        <v>309</v>
      </c>
      <c r="B326" s="102">
        <f t="shared" si="32"/>
        <v>53936</v>
      </c>
      <c r="C326" s="103">
        <f t="shared" si="38"/>
        <v>58885.013894854725</v>
      </c>
      <c r="D326" s="103">
        <f t="shared" si="33"/>
        <v>1244.5294817906613</v>
      </c>
      <c r="E326" s="104">
        <f t="shared" si="34"/>
        <v>0</v>
      </c>
      <c r="F326" s="103">
        <f t="shared" si="35"/>
        <v>1244.5294817906613</v>
      </c>
      <c r="G326" s="103">
        <f t="shared" si="36"/>
        <v>1031.071306421813</v>
      </c>
      <c r="H326" s="103">
        <f t="shared" si="39"/>
        <v>213.45817536884837</v>
      </c>
      <c r="I326" s="103">
        <f t="shared" si="37"/>
        <v>57853.94258843291</v>
      </c>
      <c r="J326" s="103">
        <f>SUM($H$18:$H326)</f>
        <v>192413.55246174725</v>
      </c>
    </row>
    <row r="327" spans="1:10" x14ac:dyDescent="0.2">
      <c r="A327" s="101">
        <f>IF(Values_Entered,A326+1,"")</f>
        <v>310</v>
      </c>
      <c r="B327" s="102">
        <f t="shared" si="32"/>
        <v>53966</v>
      </c>
      <c r="C327" s="103">
        <f t="shared" si="38"/>
        <v>57853.94258843291</v>
      </c>
      <c r="D327" s="103">
        <f t="shared" si="33"/>
        <v>1244.5294817906613</v>
      </c>
      <c r="E327" s="104">
        <f t="shared" si="34"/>
        <v>0</v>
      </c>
      <c r="F327" s="103">
        <f t="shared" si="35"/>
        <v>1244.5294817906613</v>
      </c>
      <c r="G327" s="103">
        <f t="shared" si="36"/>
        <v>1034.808939907592</v>
      </c>
      <c r="H327" s="103">
        <f t="shared" si="39"/>
        <v>209.72054188306927</v>
      </c>
      <c r="I327" s="103">
        <f t="shared" si="37"/>
        <v>56819.13364852532</v>
      </c>
      <c r="J327" s="103">
        <f>SUM($H$18:$H327)</f>
        <v>192623.27300363031</v>
      </c>
    </row>
    <row r="328" spans="1:10" x14ac:dyDescent="0.2">
      <c r="A328" s="101">
        <f>IF(Values_Entered,A327+1,"")</f>
        <v>311</v>
      </c>
      <c r="B328" s="102">
        <f t="shared" si="32"/>
        <v>53997</v>
      </c>
      <c r="C328" s="103">
        <f t="shared" si="38"/>
        <v>56819.13364852532</v>
      </c>
      <c r="D328" s="103">
        <f t="shared" si="33"/>
        <v>1244.5294817906613</v>
      </c>
      <c r="E328" s="104">
        <f t="shared" si="34"/>
        <v>0</v>
      </c>
      <c r="F328" s="103">
        <f t="shared" si="35"/>
        <v>1244.5294817906613</v>
      </c>
      <c r="G328" s="103">
        <f t="shared" si="36"/>
        <v>1038.5601223147571</v>
      </c>
      <c r="H328" s="103">
        <f t="shared" si="39"/>
        <v>205.96935947590427</v>
      </c>
      <c r="I328" s="103">
        <f t="shared" si="37"/>
        <v>55780.573526210559</v>
      </c>
      <c r="J328" s="103">
        <f>SUM($H$18:$H328)</f>
        <v>192829.24236310623</v>
      </c>
    </row>
    <row r="329" spans="1:10" x14ac:dyDescent="0.2">
      <c r="A329" s="101">
        <f>IF(Values_Entered,A328+1,"")</f>
        <v>312</v>
      </c>
      <c r="B329" s="102">
        <f t="shared" si="32"/>
        <v>54027</v>
      </c>
      <c r="C329" s="103">
        <f t="shared" si="38"/>
        <v>55780.573526210559</v>
      </c>
      <c r="D329" s="103">
        <f t="shared" si="33"/>
        <v>1244.5294817906613</v>
      </c>
      <c r="E329" s="104">
        <f t="shared" si="34"/>
        <v>0</v>
      </c>
      <c r="F329" s="103">
        <f t="shared" si="35"/>
        <v>1244.5294817906613</v>
      </c>
      <c r="G329" s="103">
        <f t="shared" si="36"/>
        <v>1042.324902758148</v>
      </c>
      <c r="H329" s="103">
        <f t="shared" si="39"/>
        <v>202.20457903251327</v>
      </c>
      <c r="I329" s="103">
        <f t="shared" si="37"/>
        <v>54738.248623452411</v>
      </c>
      <c r="J329" s="103">
        <f>SUM($H$18:$H329)</f>
        <v>193031.44694213875</v>
      </c>
    </row>
    <row r="330" spans="1:10" x14ac:dyDescent="0.2">
      <c r="A330" s="101">
        <f>IF(Values_Entered,A329+1,"")</f>
        <v>313</v>
      </c>
      <c r="B330" s="102">
        <f t="shared" si="32"/>
        <v>54058</v>
      </c>
      <c r="C330" s="103">
        <f t="shared" si="38"/>
        <v>54738.248623452411</v>
      </c>
      <c r="D330" s="103">
        <f t="shared" si="33"/>
        <v>1244.5294817906613</v>
      </c>
      <c r="E330" s="104">
        <f t="shared" si="34"/>
        <v>0</v>
      </c>
      <c r="F330" s="103">
        <f t="shared" si="35"/>
        <v>1244.5294817906613</v>
      </c>
      <c r="G330" s="103">
        <f t="shared" si="36"/>
        <v>1046.1033305306464</v>
      </c>
      <c r="H330" s="103">
        <f t="shared" si="39"/>
        <v>198.42615126001499</v>
      </c>
      <c r="I330" s="103">
        <f t="shared" si="37"/>
        <v>53692.145292921763</v>
      </c>
      <c r="J330" s="103">
        <f>SUM($H$18:$H330)</f>
        <v>193229.87309339875</v>
      </c>
    </row>
    <row r="331" spans="1:10" x14ac:dyDescent="0.2">
      <c r="A331" s="101">
        <f>IF(Values_Entered,A330+1,"")</f>
        <v>314</v>
      </c>
      <c r="B331" s="102">
        <f t="shared" si="32"/>
        <v>54089</v>
      </c>
      <c r="C331" s="103">
        <f t="shared" si="38"/>
        <v>53692.145292921763</v>
      </c>
      <c r="D331" s="103">
        <f t="shared" si="33"/>
        <v>1244.5294817906613</v>
      </c>
      <c r="E331" s="104">
        <f t="shared" si="34"/>
        <v>0</v>
      </c>
      <c r="F331" s="103">
        <f t="shared" si="35"/>
        <v>1244.5294817906613</v>
      </c>
      <c r="G331" s="103">
        <f t="shared" si="36"/>
        <v>1049.89545510382</v>
      </c>
      <c r="H331" s="103">
        <f t="shared" si="39"/>
        <v>194.63402668684137</v>
      </c>
      <c r="I331" s="103">
        <f t="shared" si="37"/>
        <v>52642.249837817944</v>
      </c>
      <c r="J331" s="103">
        <f>SUM($H$18:$H331)</f>
        <v>193424.50712008559</v>
      </c>
    </row>
    <row r="332" spans="1:10" x14ac:dyDescent="0.2">
      <c r="A332" s="101">
        <f>IF(Values_Entered,A331+1,"")</f>
        <v>315</v>
      </c>
      <c r="B332" s="102">
        <f t="shared" si="32"/>
        <v>54118</v>
      </c>
      <c r="C332" s="103">
        <f t="shared" si="38"/>
        <v>52642.249837817944</v>
      </c>
      <c r="D332" s="103">
        <f t="shared" si="33"/>
        <v>1244.5294817906613</v>
      </c>
      <c r="E332" s="104">
        <f t="shared" si="34"/>
        <v>0</v>
      </c>
      <c r="F332" s="103">
        <f t="shared" si="35"/>
        <v>1244.5294817906613</v>
      </c>
      <c r="G332" s="103">
        <f t="shared" si="36"/>
        <v>1053.7013261285713</v>
      </c>
      <c r="H332" s="103">
        <f t="shared" si="39"/>
        <v>190.82815566209004</v>
      </c>
      <c r="I332" s="103">
        <f t="shared" si="37"/>
        <v>51588.548511689376</v>
      </c>
      <c r="J332" s="103">
        <f>SUM($H$18:$H332)</f>
        <v>193615.33527574767</v>
      </c>
    </row>
    <row r="333" spans="1:10" x14ac:dyDescent="0.2">
      <c r="A333" s="101">
        <f>IF(Values_Entered,A332+1,"")</f>
        <v>316</v>
      </c>
      <c r="B333" s="102">
        <f t="shared" si="32"/>
        <v>54149</v>
      </c>
      <c r="C333" s="103">
        <f t="shared" si="38"/>
        <v>51588.548511689376</v>
      </c>
      <c r="D333" s="103">
        <f t="shared" si="33"/>
        <v>1244.5294817906613</v>
      </c>
      <c r="E333" s="104">
        <f t="shared" si="34"/>
        <v>0</v>
      </c>
      <c r="F333" s="103">
        <f t="shared" si="35"/>
        <v>1244.5294817906613</v>
      </c>
      <c r="G333" s="103">
        <f t="shared" si="36"/>
        <v>1057.5209934357872</v>
      </c>
      <c r="H333" s="103">
        <f t="shared" si="39"/>
        <v>187.00848835487398</v>
      </c>
      <c r="I333" s="103">
        <f t="shared" si="37"/>
        <v>50531.027518253592</v>
      </c>
      <c r="J333" s="103">
        <f>SUM($H$18:$H333)</f>
        <v>193802.34376410255</v>
      </c>
    </row>
    <row r="334" spans="1:10" x14ac:dyDescent="0.2">
      <c r="A334" s="101">
        <f>IF(Values_Entered,A333+1,"")</f>
        <v>317</v>
      </c>
      <c r="B334" s="102">
        <f t="shared" si="32"/>
        <v>54179</v>
      </c>
      <c r="C334" s="103">
        <f t="shared" si="38"/>
        <v>50531.027518253592</v>
      </c>
      <c r="D334" s="103">
        <f t="shared" si="33"/>
        <v>1244.5294817906613</v>
      </c>
      <c r="E334" s="104">
        <f t="shared" si="34"/>
        <v>0</v>
      </c>
      <c r="F334" s="103">
        <f t="shared" si="35"/>
        <v>1244.5294817906613</v>
      </c>
      <c r="G334" s="103">
        <f t="shared" si="36"/>
        <v>1061.3545070369921</v>
      </c>
      <c r="H334" s="103">
        <f t="shared" si="39"/>
        <v>183.17497475366926</v>
      </c>
      <c r="I334" s="103">
        <f t="shared" si="37"/>
        <v>49469.673011216597</v>
      </c>
      <c r="J334" s="103">
        <f>SUM($H$18:$H334)</f>
        <v>193985.51873885622</v>
      </c>
    </row>
    <row r="335" spans="1:10" x14ac:dyDescent="0.2">
      <c r="A335" s="101">
        <f>IF(Values_Entered,A334+1,"")</f>
        <v>318</v>
      </c>
      <c r="B335" s="102">
        <f t="shared" si="32"/>
        <v>54210</v>
      </c>
      <c r="C335" s="103">
        <f t="shared" si="38"/>
        <v>49469.673011216597</v>
      </c>
      <c r="D335" s="103">
        <f t="shared" si="33"/>
        <v>1244.5294817906613</v>
      </c>
      <c r="E335" s="104">
        <f t="shared" si="34"/>
        <v>0</v>
      </c>
      <c r="F335" s="103">
        <f t="shared" si="35"/>
        <v>1244.5294817906613</v>
      </c>
      <c r="G335" s="103">
        <f t="shared" si="36"/>
        <v>1065.2019171250013</v>
      </c>
      <c r="H335" s="103">
        <f t="shared" si="39"/>
        <v>179.32756466566013</v>
      </c>
      <c r="I335" s="103">
        <f t="shared" si="37"/>
        <v>48404.471094091597</v>
      </c>
      <c r="J335" s="103">
        <f>SUM($H$18:$H335)</f>
        <v>194164.84630352189</v>
      </c>
    </row>
    <row r="336" spans="1:10" x14ac:dyDescent="0.2">
      <c r="A336" s="101">
        <f>IF(Values_Entered,A335+1,"")</f>
        <v>319</v>
      </c>
      <c r="B336" s="102">
        <f t="shared" si="32"/>
        <v>54240</v>
      </c>
      <c r="C336" s="103">
        <f t="shared" si="38"/>
        <v>48404.471094091597</v>
      </c>
      <c r="D336" s="103">
        <f t="shared" si="33"/>
        <v>1244.5294817906613</v>
      </c>
      <c r="E336" s="104">
        <f t="shared" si="34"/>
        <v>0</v>
      </c>
      <c r="F336" s="103">
        <f t="shared" si="35"/>
        <v>1244.5294817906613</v>
      </c>
      <c r="G336" s="103">
        <f t="shared" si="36"/>
        <v>1069.0632740745793</v>
      </c>
      <c r="H336" s="103">
        <f t="shared" si="39"/>
        <v>175.46620771608204</v>
      </c>
      <c r="I336" s="103">
        <f t="shared" si="37"/>
        <v>47335.407820017019</v>
      </c>
      <c r="J336" s="103">
        <f>SUM($H$18:$H336)</f>
        <v>194340.31251123798</v>
      </c>
    </row>
    <row r="337" spans="1:10" x14ac:dyDescent="0.2">
      <c r="A337" s="101">
        <f>IF(Values_Entered,A336+1,"")</f>
        <v>320</v>
      </c>
      <c r="B337" s="102">
        <f t="shared" si="32"/>
        <v>54271</v>
      </c>
      <c r="C337" s="103">
        <f t="shared" si="38"/>
        <v>47335.407820017019</v>
      </c>
      <c r="D337" s="103">
        <f t="shared" si="33"/>
        <v>1244.5294817906613</v>
      </c>
      <c r="E337" s="104">
        <f t="shared" si="34"/>
        <v>0</v>
      </c>
      <c r="F337" s="103">
        <f t="shared" si="35"/>
        <v>1244.5294817906613</v>
      </c>
      <c r="G337" s="103">
        <f t="shared" si="36"/>
        <v>1072.9386284430996</v>
      </c>
      <c r="H337" s="103">
        <f t="shared" si="39"/>
        <v>171.5908533475617</v>
      </c>
      <c r="I337" s="103">
        <f t="shared" si="37"/>
        <v>46262.469191573917</v>
      </c>
      <c r="J337" s="103">
        <f>SUM($H$18:$H337)</f>
        <v>194511.90336458554</v>
      </c>
    </row>
    <row r="338" spans="1:10" x14ac:dyDescent="0.2">
      <c r="A338" s="101">
        <f>IF(Values_Entered,A337+1,"")</f>
        <v>321</v>
      </c>
      <c r="B338" s="102">
        <f t="shared" ref="B338:B401" si="40">IF(Pay_Num&lt;&gt;"",DATE(YEAR(Loan_Start),MONTH(Loan_Start)+(Pay_Num)*12/Num_Pmt_Per_Year,DAY(Loan_Start)),"")</f>
        <v>54302</v>
      </c>
      <c r="C338" s="103">
        <f t="shared" si="38"/>
        <v>46262.469191573917</v>
      </c>
      <c r="D338" s="103">
        <f t="shared" ref="D338:D401" si="41">IF(Pay_Num&lt;&gt;"",Scheduled_Monthly_Payment,"")</f>
        <v>1244.5294817906613</v>
      </c>
      <c r="E338" s="104">
        <f t="shared" ref="E338:E401" si="42">IF(AND(Pay_Num&lt;&gt;"",Sched_Pay+Scheduled_Extra_Payments&lt;Beg_Bal),Scheduled_Extra_Payments,IF(AND(Pay_Num&lt;&gt;"",Beg_Bal-Sched_Pay&gt;0),Beg_Bal-Sched_Pay,IF(Pay_Num&lt;&gt;"",0,"")))</f>
        <v>0</v>
      </c>
      <c r="F338" s="103">
        <f t="shared" ref="F338:F401" si="43">IF(AND(Pay_Num&lt;&gt;"",Sched_Pay+Extra_Pay&lt;Beg_Bal),Sched_Pay+Extra_Pay,IF(Pay_Num&lt;&gt;"",Beg_Bal,""))</f>
        <v>1244.5294817906613</v>
      </c>
      <c r="G338" s="103">
        <f t="shared" ref="G338:G401" si="44">IF(Pay_Num&lt;&gt;"",Total_Pay-Int,"")</f>
        <v>1076.8280309712059</v>
      </c>
      <c r="H338" s="103">
        <f t="shared" si="39"/>
        <v>167.70145081945543</v>
      </c>
      <c r="I338" s="103">
        <f t="shared" ref="I338:I401" si="45">IF(AND(Pay_Num&lt;&gt;"",Sched_Pay+Extra_Pay&lt;Beg_Bal),Beg_Bal-Princ,IF(Pay_Num&lt;&gt;"",0,""))</f>
        <v>45185.64116060271</v>
      </c>
      <c r="J338" s="103">
        <f>SUM($H$18:$H338)</f>
        <v>194679.60481540501</v>
      </c>
    </row>
    <row r="339" spans="1:10" x14ac:dyDescent="0.2">
      <c r="A339" s="101">
        <f>IF(Values_Entered,A338+1,"")</f>
        <v>322</v>
      </c>
      <c r="B339" s="102">
        <f t="shared" si="40"/>
        <v>54332</v>
      </c>
      <c r="C339" s="103">
        <f t="shared" ref="C339:C402" si="46">IF(Pay_Num&lt;&gt;"",I338,"")</f>
        <v>45185.64116060271</v>
      </c>
      <c r="D339" s="103">
        <f t="shared" si="41"/>
        <v>1244.5294817906613</v>
      </c>
      <c r="E339" s="104">
        <f t="shared" si="42"/>
        <v>0</v>
      </c>
      <c r="F339" s="103">
        <f t="shared" si="43"/>
        <v>1244.5294817906613</v>
      </c>
      <c r="G339" s="103">
        <f t="shared" si="44"/>
        <v>1080.7315325834766</v>
      </c>
      <c r="H339" s="103">
        <f t="shared" ref="H339:H402" si="47">IF(Pay_Num&lt;&gt;"",Beg_Bal*Interest_Rate/Num_Pmt_Per_Year,"")</f>
        <v>163.79794920718481</v>
      </c>
      <c r="I339" s="103">
        <f t="shared" si="45"/>
        <v>44104.909628019232</v>
      </c>
      <c r="J339" s="103">
        <f>SUM($H$18:$H339)</f>
        <v>194843.4027646122</v>
      </c>
    </row>
    <row r="340" spans="1:10" x14ac:dyDescent="0.2">
      <c r="A340" s="101">
        <f>IF(Values_Entered,A339+1,"")</f>
        <v>323</v>
      </c>
      <c r="B340" s="102">
        <f t="shared" si="40"/>
        <v>54363</v>
      </c>
      <c r="C340" s="103">
        <f t="shared" si="46"/>
        <v>44104.909628019232</v>
      </c>
      <c r="D340" s="103">
        <f t="shared" si="41"/>
        <v>1244.5294817906613</v>
      </c>
      <c r="E340" s="104">
        <f t="shared" si="42"/>
        <v>0</v>
      </c>
      <c r="F340" s="103">
        <f t="shared" si="43"/>
        <v>1244.5294817906613</v>
      </c>
      <c r="G340" s="103">
        <f t="shared" si="44"/>
        <v>1084.6491843890915</v>
      </c>
      <c r="H340" s="103">
        <f t="shared" si="47"/>
        <v>159.88029740156972</v>
      </c>
      <c r="I340" s="103">
        <f t="shared" si="45"/>
        <v>43020.260443630141</v>
      </c>
      <c r="J340" s="103">
        <f>SUM($H$18:$H340)</f>
        <v>195003.28306201377</v>
      </c>
    </row>
    <row r="341" spans="1:10" x14ac:dyDescent="0.2">
      <c r="A341" s="101">
        <f>IF(Values_Entered,A340+1,"")</f>
        <v>324</v>
      </c>
      <c r="B341" s="102">
        <f t="shared" si="40"/>
        <v>54393</v>
      </c>
      <c r="C341" s="103">
        <f t="shared" si="46"/>
        <v>43020.260443630141</v>
      </c>
      <c r="D341" s="103">
        <f t="shared" si="41"/>
        <v>1244.5294817906613</v>
      </c>
      <c r="E341" s="104">
        <f t="shared" si="42"/>
        <v>0</v>
      </c>
      <c r="F341" s="103">
        <f t="shared" si="43"/>
        <v>1244.5294817906613</v>
      </c>
      <c r="G341" s="103">
        <f t="shared" si="44"/>
        <v>1088.581037682502</v>
      </c>
      <c r="H341" s="103">
        <f t="shared" si="47"/>
        <v>155.94844410815924</v>
      </c>
      <c r="I341" s="103">
        <f t="shared" si="45"/>
        <v>41931.679405947638</v>
      </c>
      <c r="J341" s="103">
        <f>SUM($H$18:$H341)</f>
        <v>195159.23150612193</v>
      </c>
    </row>
    <row r="342" spans="1:10" x14ac:dyDescent="0.2">
      <c r="A342" s="101">
        <f>IF(Values_Entered,A341+1,"")</f>
        <v>325</v>
      </c>
      <c r="B342" s="102">
        <f t="shared" si="40"/>
        <v>54424</v>
      </c>
      <c r="C342" s="103">
        <f t="shared" si="46"/>
        <v>41931.679405947638</v>
      </c>
      <c r="D342" s="103">
        <f t="shared" si="41"/>
        <v>1244.5294817906613</v>
      </c>
      <c r="E342" s="104">
        <f t="shared" si="42"/>
        <v>0</v>
      </c>
      <c r="F342" s="103">
        <f t="shared" si="43"/>
        <v>1244.5294817906613</v>
      </c>
      <c r="G342" s="103">
        <f t="shared" si="44"/>
        <v>1092.5271439441012</v>
      </c>
      <c r="H342" s="103">
        <f t="shared" si="47"/>
        <v>152.00233784656018</v>
      </c>
      <c r="I342" s="103">
        <f t="shared" si="45"/>
        <v>40839.152262003539</v>
      </c>
      <c r="J342" s="103">
        <f>SUM($H$18:$H342)</f>
        <v>195311.23384396848</v>
      </c>
    </row>
    <row r="343" spans="1:10" x14ac:dyDescent="0.2">
      <c r="A343" s="101">
        <f>IF(Values_Entered,A342+1,"")</f>
        <v>326</v>
      </c>
      <c r="B343" s="102">
        <f t="shared" si="40"/>
        <v>54455</v>
      </c>
      <c r="C343" s="103">
        <f t="shared" si="46"/>
        <v>40839.152262003539</v>
      </c>
      <c r="D343" s="103">
        <f t="shared" si="41"/>
        <v>1244.5294817906613</v>
      </c>
      <c r="E343" s="104">
        <f t="shared" si="42"/>
        <v>0</v>
      </c>
      <c r="F343" s="103">
        <f t="shared" si="43"/>
        <v>1244.5294817906613</v>
      </c>
      <c r="G343" s="103">
        <f t="shared" si="44"/>
        <v>1096.4875548408984</v>
      </c>
      <c r="H343" s="103">
        <f t="shared" si="47"/>
        <v>148.04192694976282</v>
      </c>
      <c r="I343" s="103">
        <f t="shared" si="45"/>
        <v>39742.664707162643</v>
      </c>
      <c r="J343" s="103">
        <f>SUM($H$18:$H343)</f>
        <v>195459.27577091823</v>
      </c>
    </row>
    <row r="344" spans="1:10" x14ac:dyDescent="0.2">
      <c r="A344" s="101">
        <f>IF(Values_Entered,A343+1,"")</f>
        <v>327</v>
      </c>
      <c r="B344" s="102">
        <f t="shared" si="40"/>
        <v>54483</v>
      </c>
      <c r="C344" s="103">
        <f t="shared" si="46"/>
        <v>39742.664707162643</v>
      </c>
      <c r="D344" s="103">
        <f t="shared" si="41"/>
        <v>1244.5294817906613</v>
      </c>
      <c r="E344" s="104">
        <f t="shared" si="42"/>
        <v>0</v>
      </c>
      <c r="F344" s="103">
        <f t="shared" si="43"/>
        <v>1244.5294817906613</v>
      </c>
      <c r="G344" s="103">
        <f t="shared" si="44"/>
        <v>1100.4623222271966</v>
      </c>
      <c r="H344" s="103">
        <f t="shared" si="47"/>
        <v>144.06715956346457</v>
      </c>
      <c r="I344" s="103">
        <f t="shared" si="45"/>
        <v>38642.202384935445</v>
      </c>
      <c r="J344" s="103">
        <f>SUM($H$18:$H344)</f>
        <v>195603.34293048171</v>
      </c>
    </row>
    <row r="345" spans="1:10" x14ac:dyDescent="0.2">
      <c r="A345" s="101">
        <f>IF(Values_Entered,A344+1,"")</f>
        <v>328</v>
      </c>
      <c r="B345" s="102">
        <f t="shared" si="40"/>
        <v>54514</v>
      </c>
      <c r="C345" s="103">
        <f t="shared" si="46"/>
        <v>38642.202384935445</v>
      </c>
      <c r="D345" s="103">
        <f t="shared" si="41"/>
        <v>1244.5294817906613</v>
      </c>
      <c r="E345" s="104">
        <f t="shared" si="42"/>
        <v>0</v>
      </c>
      <c r="F345" s="103">
        <f t="shared" si="43"/>
        <v>1244.5294817906613</v>
      </c>
      <c r="G345" s="103">
        <f t="shared" si="44"/>
        <v>1104.4514981452703</v>
      </c>
      <c r="H345" s="103">
        <f t="shared" si="47"/>
        <v>140.07798364539096</v>
      </c>
      <c r="I345" s="103">
        <f t="shared" si="45"/>
        <v>37537.750886790178</v>
      </c>
      <c r="J345" s="103">
        <f>SUM($H$18:$H345)</f>
        <v>195743.42091412711</v>
      </c>
    </row>
    <row r="346" spans="1:10" x14ac:dyDescent="0.2">
      <c r="A346" s="101">
        <f>IF(Values_Entered,A345+1,"")</f>
        <v>329</v>
      </c>
      <c r="B346" s="102">
        <f t="shared" si="40"/>
        <v>54544</v>
      </c>
      <c r="C346" s="103">
        <f t="shared" si="46"/>
        <v>37537.750886790178</v>
      </c>
      <c r="D346" s="103">
        <f t="shared" si="41"/>
        <v>1244.5294817906613</v>
      </c>
      <c r="E346" s="104">
        <f t="shared" si="42"/>
        <v>0</v>
      </c>
      <c r="F346" s="103">
        <f t="shared" si="43"/>
        <v>1244.5294817906613</v>
      </c>
      <c r="G346" s="103">
        <f t="shared" si="44"/>
        <v>1108.455134826047</v>
      </c>
      <c r="H346" s="103">
        <f t="shared" si="47"/>
        <v>136.07434696461439</v>
      </c>
      <c r="I346" s="103">
        <f t="shared" si="45"/>
        <v>36429.295751964128</v>
      </c>
      <c r="J346" s="103">
        <f>SUM($H$18:$H346)</f>
        <v>195879.49526109174</v>
      </c>
    </row>
    <row r="347" spans="1:10" x14ac:dyDescent="0.2">
      <c r="A347" s="101">
        <f>IF(Values_Entered,A346+1,"")</f>
        <v>330</v>
      </c>
      <c r="B347" s="102">
        <f t="shared" si="40"/>
        <v>54575</v>
      </c>
      <c r="C347" s="103">
        <f t="shared" si="46"/>
        <v>36429.295751964128</v>
      </c>
      <c r="D347" s="103">
        <f t="shared" si="41"/>
        <v>1244.5294817906613</v>
      </c>
      <c r="E347" s="104">
        <f t="shared" si="42"/>
        <v>0</v>
      </c>
      <c r="F347" s="103">
        <f t="shared" si="43"/>
        <v>1244.5294817906613</v>
      </c>
      <c r="G347" s="103">
        <f t="shared" si="44"/>
        <v>1112.4732846897914</v>
      </c>
      <c r="H347" s="103">
        <f t="shared" si="47"/>
        <v>132.05619710086995</v>
      </c>
      <c r="I347" s="103">
        <f t="shared" si="45"/>
        <v>35316.822467274338</v>
      </c>
      <c r="J347" s="103">
        <f>SUM($H$18:$H347)</f>
        <v>196011.55145819261</v>
      </c>
    </row>
    <row r="348" spans="1:10" x14ac:dyDescent="0.2">
      <c r="A348" s="101">
        <f>IF(Values_Entered,A347+1,"")</f>
        <v>331</v>
      </c>
      <c r="B348" s="102">
        <f t="shared" si="40"/>
        <v>54605</v>
      </c>
      <c r="C348" s="103">
        <f t="shared" si="46"/>
        <v>35316.822467274338</v>
      </c>
      <c r="D348" s="103">
        <f t="shared" si="41"/>
        <v>1244.5294817906613</v>
      </c>
      <c r="E348" s="104">
        <f t="shared" si="42"/>
        <v>0</v>
      </c>
      <c r="F348" s="103">
        <f t="shared" si="43"/>
        <v>1244.5294817906613</v>
      </c>
      <c r="G348" s="103">
        <f t="shared" si="44"/>
        <v>1116.5060003467918</v>
      </c>
      <c r="H348" s="103">
        <f t="shared" si="47"/>
        <v>128.02348144386949</v>
      </c>
      <c r="I348" s="103">
        <f t="shared" si="45"/>
        <v>34200.316466927543</v>
      </c>
      <c r="J348" s="103">
        <f>SUM($H$18:$H348)</f>
        <v>196139.57493963648</v>
      </c>
    </row>
    <row r="349" spans="1:10" x14ac:dyDescent="0.2">
      <c r="A349" s="101">
        <f>IF(Values_Entered,A348+1,"")</f>
        <v>332</v>
      </c>
      <c r="B349" s="102">
        <f t="shared" si="40"/>
        <v>54636</v>
      </c>
      <c r="C349" s="103">
        <f t="shared" si="46"/>
        <v>34200.316466927543</v>
      </c>
      <c r="D349" s="103">
        <f t="shared" si="41"/>
        <v>1244.5294817906613</v>
      </c>
      <c r="E349" s="104">
        <f t="shared" si="42"/>
        <v>0</v>
      </c>
      <c r="F349" s="103">
        <f t="shared" si="43"/>
        <v>1244.5294817906613</v>
      </c>
      <c r="G349" s="103">
        <f t="shared" si="44"/>
        <v>1120.5533345980489</v>
      </c>
      <c r="H349" s="103">
        <f t="shared" si="47"/>
        <v>123.97614719261234</v>
      </c>
      <c r="I349" s="103">
        <f t="shared" si="45"/>
        <v>33079.763132329492</v>
      </c>
      <c r="J349" s="103">
        <f>SUM($H$18:$H349)</f>
        <v>196263.5510868291</v>
      </c>
    </row>
    <row r="350" spans="1:10" x14ac:dyDescent="0.2">
      <c r="A350" s="101">
        <f>IF(Values_Entered,A349+1,"")</f>
        <v>333</v>
      </c>
      <c r="B350" s="102">
        <f t="shared" si="40"/>
        <v>54667</v>
      </c>
      <c r="C350" s="103">
        <f t="shared" si="46"/>
        <v>33079.763132329492</v>
      </c>
      <c r="D350" s="103">
        <f t="shared" si="41"/>
        <v>1244.5294817906613</v>
      </c>
      <c r="E350" s="104">
        <f t="shared" si="42"/>
        <v>0</v>
      </c>
      <c r="F350" s="103">
        <f t="shared" si="43"/>
        <v>1244.5294817906613</v>
      </c>
      <c r="G350" s="103">
        <f t="shared" si="44"/>
        <v>1124.6153404359668</v>
      </c>
      <c r="H350" s="103">
        <f t="shared" si="47"/>
        <v>119.91414135469439</v>
      </c>
      <c r="I350" s="103">
        <f t="shared" si="45"/>
        <v>31955.147791893523</v>
      </c>
      <c r="J350" s="103">
        <f>SUM($H$18:$H350)</f>
        <v>196383.46522818381</v>
      </c>
    </row>
    <row r="351" spans="1:10" x14ac:dyDescent="0.2">
      <c r="A351" s="101">
        <f>IF(Values_Entered,A350+1,"")</f>
        <v>334</v>
      </c>
      <c r="B351" s="102">
        <f t="shared" si="40"/>
        <v>54697</v>
      </c>
      <c r="C351" s="103">
        <f t="shared" si="46"/>
        <v>31955.147791893523</v>
      </c>
      <c r="D351" s="103">
        <f t="shared" si="41"/>
        <v>1244.5294817906613</v>
      </c>
      <c r="E351" s="104">
        <f t="shared" si="42"/>
        <v>0</v>
      </c>
      <c r="F351" s="103">
        <f t="shared" si="43"/>
        <v>1244.5294817906613</v>
      </c>
      <c r="G351" s="103">
        <f t="shared" si="44"/>
        <v>1128.6920710450472</v>
      </c>
      <c r="H351" s="103">
        <f t="shared" si="47"/>
        <v>115.83741074561402</v>
      </c>
      <c r="I351" s="103">
        <f t="shared" si="45"/>
        <v>30826.455720848477</v>
      </c>
      <c r="J351" s="103">
        <f>SUM($H$18:$H351)</f>
        <v>196499.30263892942</v>
      </c>
    </row>
    <row r="352" spans="1:10" x14ac:dyDescent="0.2">
      <c r="A352" s="101">
        <f>IF(Values_Entered,A351+1,"")</f>
        <v>335</v>
      </c>
      <c r="B352" s="102">
        <f t="shared" si="40"/>
        <v>54728</v>
      </c>
      <c r="C352" s="103">
        <f t="shared" si="46"/>
        <v>30826.455720848477</v>
      </c>
      <c r="D352" s="103">
        <f t="shared" si="41"/>
        <v>1244.5294817906613</v>
      </c>
      <c r="E352" s="104">
        <f t="shared" si="42"/>
        <v>0</v>
      </c>
      <c r="F352" s="103">
        <f t="shared" si="43"/>
        <v>1244.5294817906613</v>
      </c>
      <c r="G352" s="103">
        <f t="shared" si="44"/>
        <v>1132.7835798025856</v>
      </c>
      <c r="H352" s="103">
        <f t="shared" si="47"/>
        <v>111.74590198807572</v>
      </c>
      <c r="I352" s="103">
        <f t="shared" si="45"/>
        <v>29693.672141045892</v>
      </c>
      <c r="J352" s="103">
        <f>SUM($H$18:$H352)</f>
        <v>196611.04854091749</v>
      </c>
    </row>
    <row r="353" spans="1:10" x14ac:dyDescent="0.2">
      <c r="A353" s="101">
        <f>IF(Values_Entered,A352+1,"")</f>
        <v>336</v>
      </c>
      <c r="B353" s="102">
        <f t="shared" si="40"/>
        <v>54758</v>
      </c>
      <c r="C353" s="103">
        <f t="shared" si="46"/>
        <v>29693.672141045892</v>
      </c>
      <c r="D353" s="103">
        <f t="shared" si="41"/>
        <v>1244.5294817906613</v>
      </c>
      <c r="E353" s="104">
        <f t="shared" si="42"/>
        <v>0</v>
      </c>
      <c r="F353" s="103">
        <f t="shared" si="43"/>
        <v>1244.5294817906613</v>
      </c>
      <c r="G353" s="103">
        <f t="shared" si="44"/>
        <v>1136.88992027937</v>
      </c>
      <c r="H353" s="103">
        <f t="shared" si="47"/>
        <v>107.63956151129135</v>
      </c>
      <c r="I353" s="103">
        <f t="shared" si="45"/>
        <v>28556.782220766523</v>
      </c>
      <c r="J353" s="103">
        <f>SUM($H$18:$H353)</f>
        <v>196718.68810242877</v>
      </c>
    </row>
    <row r="354" spans="1:10" x14ac:dyDescent="0.2">
      <c r="A354" s="101">
        <f>IF(Values_Entered,A353+1,"")</f>
        <v>337</v>
      </c>
      <c r="B354" s="102">
        <f t="shared" si="40"/>
        <v>54789</v>
      </c>
      <c r="C354" s="103">
        <f t="shared" si="46"/>
        <v>28556.782220766523</v>
      </c>
      <c r="D354" s="103">
        <f t="shared" si="41"/>
        <v>1244.5294817906613</v>
      </c>
      <c r="E354" s="104">
        <f t="shared" si="42"/>
        <v>0</v>
      </c>
      <c r="F354" s="103">
        <f t="shared" si="43"/>
        <v>1244.5294817906613</v>
      </c>
      <c r="G354" s="103">
        <f t="shared" si="44"/>
        <v>1141.0111462403827</v>
      </c>
      <c r="H354" s="103">
        <f t="shared" si="47"/>
        <v>103.51833555027865</v>
      </c>
      <c r="I354" s="103">
        <f t="shared" si="45"/>
        <v>27415.771074526139</v>
      </c>
      <c r="J354" s="103">
        <f>SUM($H$18:$H354)</f>
        <v>196822.20643797904</v>
      </c>
    </row>
    <row r="355" spans="1:10" x14ac:dyDescent="0.2">
      <c r="A355" s="101">
        <f>IF(Values_Entered,A354+1,"")</f>
        <v>338</v>
      </c>
      <c r="B355" s="102">
        <f t="shared" si="40"/>
        <v>54820</v>
      </c>
      <c r="C355" s="103">
        <f t="shared" si="46"/>
        <v>27415.771074526139</v>
      </c>
      <c r="D355" s="103">
        <f t="shared" si="41"/>
        <v>1244.5294817906613</v>
      </c>
      <c r="E355" s="104">
        <f t="shared" si="42"/>
        <v>0</v>
      </c>
      <c r="F355" s="103">
        <f t="shared" si="43"/>
        <v>1244.5294817906613</v>
      </c>
      <c r="G355" s="103">
        <f t="shared" si="44"/>
        <v>1145.147311645504</v>
      </c>
      <c r="H355" s="103">
        <f t="shared" si="47"/>
        <v>99.382170145157247</v>
      </c>
      <c r="I355" s="103">
        <f t="shared" si="45"/>
        <v>26270.623762880634</v>
      </c>
      <c r="J355" s="103">
        <f>SUM($H$18:$H355)</f>
        <v>196921.58860812421</v>
      </c>
    </row>
    <row r="356" spans="1:10" x14ac:dyDescent="0.2">
      <c r="A356" s="101">
        <f>IF(Values_Entered,A355+1,"")</f>
        <v>339</v>
      </c>
      <c r="B356" s="102">
        <f t="shared" si="40"/>
        <v>54848</v>
      </c>
      <c r="C356" s="103">
        <f t="shared" si="46"/>
        <v>26270.623762880634</v>
      </c>
      <c r="D356" s="103">
        <f t="shared" si="41"/>
        <v>1244.5294817906613</v>
      </c>
      <c r="E356" s="104">
        <f t="shared" si="42"/>
        <v>0</v>
      </c>
      <c r="F356" s="103">
        <f t="shared" si="43"/>
        <v>1244.5294817906613</v>
      </c>
      <c r="G356" s="103">
        <f t="shared" si="44"/>
        <v>1149.2984706502191</v>
      </c>
      <c r="H356" s="103">
        <f t="shared" si="47"/>
        <v>95.231011140442305</v>
      </c>
      <c r="I356" s="103">
        <f t="shared" si="45"/>
        <v>25121.325292230416</v>
      </c>
      <c r="J356" s="103">
        <f>SUM($H$18:$H356)</f>
        <v>197016.81961926466</v>
      </c>
    </row>
    <row r="357" spans="1:10" x14ac:dyDescent="0.2">
      <c r="A357" s="101">
        <f>IF(Values_Entered,A356+1,"")</f>
        <v>340</v>
      </c>
      <c r="B357" s="102">
        <f t="shared" si="40"/>
        <v>54879</v>
      </c>
      <c r="C357" s="103">
        <f t="shared" si="46"/>
        <v>25121.325292230416</v>
      </c>
      <c r="D357" s="103">
        <f t="shared" si="41"/>
        <v>1244.5294817906613</v>
      </c>
      <c r="E357" s="104">
        <f t="shared" si="42"/>
        <v>0</v>
      </c>
      <c r="F357" s="103">
        <f t="shared" si="43"/>
        <v>1244.5294817906613</v>
      </c>
      <c r="G357" s="103">
        <f t="shared" si="44"/>
        <v>1153.4646776063259</v>
      </c>
      <c r="H357" s="103">
        <f t="shared" si="47"/>
        <v>91.064804184335244</v>
      </c>
      <c r="I357" s="103">
        <f t="shared" si="45"/>
        <v>23967.860614624089</v>
      </c>
      <c r="J357" s="103">
        <f>SUM($H$18:$H357)</f>
        <v>197107.884423449</v>
      </c>
    </row>
    <row r="358" spans="1:10" x14ac:dyDescent="0.2">
      <c r="A358" s="101">
        <f>IF(Values_Entered,A357+1,"")</f>
        <v>341</v>
      </c>
      <c r="B358" s="102">
        <f t="shared" si="40"/>
        <v>54909</v>
      </c>
      <c r="C358" s="103">
        <f t="shared" si="46"/>
        <v>23967.860614624089</v>
      </c>
      <c r="D358" s="103">
        <f t="shared" si="41"/>
        <v>1244.5294817906613</v>
      </c>
      <c r="E358" s="104">
        <f t="shared" si="42"/>
        <v>0</v>
      </c>
      <c r="F358" s="103">
        <f t="shared" si="43"/>
        <v>1244.5294817906613</v>
      </c>
      <c r="G358" s="103">
        <f t="shared" si="44"/>
        <v>1157.6459870626491</v>
      </c>
      <c r="H358" s="103">
        <f t="shared" si="47"/>
        <v>86.883494728012309</v>
      </c>
      <c r="I358" s="103">
        <f t="shared" si="45"/>
        <v>22810.21462756144</v>
      </c>
      <c r="J358" s="103">
        <f>SUM($H$18:$H358)</f>
        <v>197194.76791817701</v>
      </c>
    </row>
    <row r="359" spans="1:10" x14ac:dyDescent="0.2">
      <c r="A359" s="101">
        <f>IF(Values_Entered,A358+1,"")</f>
        <v>342</v>
      </c>
      <c r="B359" s="102">
        <f t="shared" si="40"/>
        <v>54940</v>
      </c>
      <c r="C359" s="103">
        <f t="shared" si="46"/>
        <v>22810.21462756144</v>
      </c>
      <c r="D359" s="103">
        <f t="shared" si="41"/>
        <v>1244.5294817906613</v>
      </c>
      <c r="E359" s="104">
        <f t="shared" si="42"/>
        <v>0</v>
      </c>
      <c r="F359" s="103">
        <f t="shared" si="43"/>
        <v>1244.5294817906613</v>
      </c>
      <c r="G359" s="103">
        <f t="shared" si="44"/>
        <v>1161.8424537657511</v>
      </c>
      <c r="H359" s="103">
        <f t="shared" si="47"/>
        <v>82.687028024910219</v>
      </c>
      <c r="I359" s="103">
        <f t="shared" si="45"/>
        <v>21648.372173795688</v>
      </c>
      <c r="J359" s="103">
        <f>SUM($H$18:$H359)</f>
        <v>197277.45494620191</v>
      </c>
    </row>
    <row r="360" spans="1:10" x14ac:dyDescent="0.2">
      <c r="A360" s="101">
        <f>IF(Values_Entered,A359+1,"")</f>
        <v>343</v>
      </c>
      <c r="B360" s="102">
        <f t="shared" si="40"/>
        <v>54970</v>
      </c>
      <c r="C360" s="103">
        <f t="shared" si="46"/>
        <v>21648.372173795688</v>
      </c>
      <c r="D360" s="103">
        <f t="shared" si="41"/>
        <v>1244.5294817906613</v>
      </c>
      <c r="E360" s="104">
        <f t="shared" si="42"/>
        <v>0</v>
      </c>
      <c r="F360" s="103">
        <f t="shared" si="43"/>
        <v>1244.5294817906613</v>
      </c>
      <c r="G360" s="103">
        <f t="shared" si="44"/>
        <v>1166.0541326606519</v>
      </c>
      <c r="H360" s="103">
        <f t="shared" si="47"/>
        <v>78.475349130009363</v>
      </c>
      <c r="I360" s="103">
        <f t="shared" si="45"/>
        <v>20482.318041135037</v>
      </c>
      <c r="J360" s="103">
        <f>SUM($H$18:$H360)</f>
        <v>197355.93029533193</v>
      </c>
    </row>
    <row r="361" spans="1:10" x14ac:dyDescent="0.2">
      <c r="A361" s="101">
        <f>IF(Values_Entered,A360+1,"")</f>
        <v>344</v>
      </c>
      <c r="B361" s="102">
        <f t="shared" si="40"/>
        <v>55001</v>
      </c>
      <c r="C361" s="103">
        <f t="shared" si="46"/>
        <v>20482.318041135037</v>
      </c>
      <c r="D361" s="103">
        <f t="shared" si="41"/>
        <v>1244.5294817906613</v>
      </c>
      <c r="E361" s="104">
        <f t="shared" si="42"/>
        <v>0</v>
      </c>
      <c r="F361" s="103">
        <f t="shared" si="43"/>
        <v>1244.5294817906613</v>
      </c>
      <c r="G361" s="103">
        <f t="shared" si="44"/>
        <v>1170.2810788915467</v>
      </c>
      <c r="H361" s="103">
        <f t="shared" si="47"/>
        <v>74.24840289911451</v>
      </c>
      <c r="I361" s="103">
        <f t="shared" si="45"/>
        <v>19312.036962243488</v>
      </c>
      <c r="J361" s="103">
        <f>SUM($H$18:$H361)</f>
        <v>197430.17869823103</v>
      </c>
    </row>
    <row r="362" spans="1:10" x14ac:dyDescent="0.2">
      <c r="A362" s="101">
        <f>IF(Values_Entered,A361+1,"")</f>
        <v>345</v>
      </c>
      <c r="B362" s="102">
        <f t="shared" si="40"/>
        <v>55032</v>
      </c>
      <c r="C362" s="103">
        <f t="shared" si="46"/>
        <v>19312.036962243488</v>
      </c>
      <c r="D362" s="103">
        <f t="shared" si="41"/>
        <v>1244.5294817906613</v>
      </c>
      <c r="E362" s="104">
        <f t="shared" si="42"/>
        <v>0</v>
      </c>
      <c r="F362" s="103">
        <f t="shared" si="43"/>
        <v>1244.5294817906613</v>
      </c>
      <c r="G362" s="103">
        <f t="shared" si="44"/>
        <v>1174.5233478025286</v>
      </c>
      <c r="H362" s="103">
        <f t="shared" si="47"/>
        <v>70.006133988132646</v>
      </c>
      <c r="I362" s="103">
        <f t="shared" si="45"/>
        <v>18137.513614440959</v>
      </c>
      <c r="J362" s="103">
        <f>SUM($H$18:$H362)</f>
        <v>197500.18483221915</v>
      </c>
    </row>
    <row r="363" spans="1:10" x14ac:dyDescent="0.2">
      <c r="A363" s="101">
        <f>IF(Values_Entered,A362+1,"")</f>
        <v>346</v>
      </c>
      <c r="B363" s="102">
        <f t="shared" si="40"/>
        <v>55062</v>
      </c>
      <c r="C363" s="103">
        <f t="shared" si="46"/>
        <v>18137.513614440959</v>
      </c>
      <c r="D363" s="103">
        <f t="shared" si="41"/>
        <v>1244.5294817906613</v>
      </c>
      <c r="E363" s="104">
        <f t="shared" si="42"/>
        <v>0</v>
      </c>
      <c r="F363" s="103">
        <f t="shared" si="43"/>
        <v>1244.5294817906613</v>
      </c>
      <c r="G363" s="103">
        <f t="shared" si="44"/>
        <v>1178.7809949383129</v>
      </c>
      <c r="H363" s="103">
        <f t="shared" si="47"/>
        <v>65.748486852348478</v>
      </c>
      <c r="I363" s="103">
        <f t="shared" si="45"/>
        <v>16958.732619502647</v>
      </c>
      <c r="J363" s="103">
        <f>SUM($H$18:$H363)</f>
        <v>197565.93331907151</v>
      </c>
    </row>
    <row r="364" spans="1:10" x14ac:dyDescent="0.2">
      <c r="A364" s="101">
        <f>IF(Values_Entered,A363+1,"")</f>
        <v>347</v>
      </c>
      <c r="B364" s="102">
        <f t="shared" si="40"/>
        <v>55093</v>
      </c>
      <c r="C364" s="103">
        <f t="shared" si="46"/>
        <v>16958.732619502647</v>
      </c>
      <c r="D364" s="103">
        <f t="shared" si="41"/>
        <v>1244.5294817906613</v>
      </c>
      <c r="E364" s="104">
        <f t="shared" si="42"/>
        <v>0</v>
      </c>
      <c r="F364" s="103">
        <f t="shared" si="43"/>
        <v>1244.5294817906613</v>
      </c>
      <c r="G364" s="103">
        <f t="shared" si="44"/>
        <v>1183.0540760449642</v>
      </c>
      <c r="H364" s="103">
        <f t="shared" si="47"/>
        <v>61.475405745697088</v>
      </c>
      <c r="I364" s="103">
        <f t="shared" si="45"/>
        <v>15775.678543457683</v>
      </c>
      <c r="J364" s="103">
        <f>SUM($H$18:$H364)</f>
        <v>197627.40872481721</v>
      </c>
    </row>
    <row r="365" spans="1:10" x14ac:dyDescent="0.2">
      <c r="A365" s="101">
        <f>IF(Values_Entered,A364+1,"")</f>
        <v>348</v>
      </c>
      <c r="B365" s="102">
        <f t="shared" si="40"/>
        <v>55123</v>
      </c>
      <c r="C365" s="103">
        <f t="shared" si="46"/>
        <v>15775.678543457683</v>
      </c>
      <c r="D365" s="103">
        <f t="shared" si="41"/>
        <v>1244.5294817906613</v>
      </c>
      <c r="E365" s="104">
        <f t="shared" si="42"/>
        <v>0</v>
      </c>
      <c r="F365" s="103">
        <f t="shared" si="43"/>
        <v>1244.5294817906613</v>
      </c>
      <c r="G365" s="103">
        <f t="shared" si="44"/>
        <v>1187.3426470706272</v>
      </c>
      <c r="H365" s="103">
        <f t="shared" si="47"/>
        <v>57.186834720034092</v>
      </c>
      <c r="I365" s="103">
        <f t="shared" si="45"/>
        <v>14588.335896387056</v>
      </c>
      <c r="J365" s="103">
        <f>SUM($H$18:$H365)</f>
        <v>197684.59555953724</v>
      </c>
    </row>
    <row r="366" spans="1:10" x14ac:dyDescent="0.2">
      <c r="A366" s="101">
        <f>IF(Values_Entered,A365+1,"")</f>
        <v>349</v>
      </c>
      <c r="B366" s="102">
        <f t="shared" si="40"/>
        <v>55154</v>
      </c>
      <c r="C366" s="103">
        <f t="shared" si="46"/>
        <v>14588.335896387056</v>
      </c>
      <c r="D366" s="103">
        <f t="shared" si="41"/>
        <v>1244.5294817906613</v>
      </c>
      <c r="E366" s="104">
        <f t="shared" si="42"/>
        <v>0</v>
      </c>
      <c r="F366" s="103">
        <f t="shared" si="43"/>
        <v>1244.5294817906613</v>
      </c>
      <c r="G366" s="103">
        <f t="shared" si="44"/>
        <v>1191.6467641662582</v>
      </c>
      <c r="H366" s="103">
        <f t="shared" si="47"/>
        <v>52.882717624403078</v>
      </c>
      <c r="I366" s="103">
        <f t="shared" si="45"/>
        <v>13396.689132220798</v>
      </c>
      <c r="J366" s="103">
        <f>SUM($H$18:$H366)</f>
        <v>197737.47827716163</v>
      </c>
    </row>
    <row r="367" spans="1:10" x14ac:dyDescent="0.2">
      <c r="A367" s="101">
        <f>IF(Values_Entered,A366+1,"")</f>
        <v>350</v>
      </c>
      <c r="B367" s="102">
        <f t="shared" si="40"/>
        <v>55185</v>
      </c>
      <c r="C367" s="103">
        <f t="shared" si="46"/>
        <v>13396.689132220798</v>
      </c>
      <c r="D367" s="103">
        <f t="shared" si="41"/>
        <v>1244.5294817906613</v>
      </c>
      <c r="E367" s="104">
        <f t="shared" si="42"/>
        <v>0</v>
      </c>
      <c r="F367" s="103">
        <f t="shared" si="43"/>
        <v>1244.5294817906613</v>
      </c>
      <c r="G367" s="103">
        <f t="shared" si="44"/>
        <v>1195.9664836863608</v>
      </c>
      <c r="H367" s="103">
        <f t="shared" si="47"/>
        <v>48.562998104300391</v>
      </c>
      <c r="I367" s="103">
        <f t="shared" si="45"/>
        <v>12200.722648534436</v>
      </c>
      <c r="J367" s="103">
        <f>SUM($H$18:$H367)</f>
        <v>197786.04127526592</v>
      </c>
    </row>
    <row r="368" spans="1:10" x14ac:dyDescent="0.2">
      <c r="A368" s="101">
        <f>IF(Values_Entered,A367+1,"")</f>
        <v>351</v>
      </c>
      <c r="B368" s="102">
        <f t="shared" si="40"/>
        <v>55213</v>
      </c>
      <c r="C368" s="103">
        <f t="shared" si="46"/>
        <v>12200.722648534436</v>
      </c>
      <c r="D368" s="103">
        <f t="shared" si="41"/>
        <v>1244.5294817906613</v>
      </c>
      <c r="E368" s="104">
        <f t="shared" si="42"/>
        <v>0</v>
      </c>
      <c r="F368" s="103">
        <f t="shared" si="43"/>
        <v>1244.5294817906613</v>
      </c>
      <c r="G368" s="103">
        <f t="shared" si="44"/>
        <v>1200.301862189724</v>
      </c>
      <c r="H368" s="103">
        <f t="shared" si="47"/>
        <v>44.227619600937324</v>
      </c>
      <c r="I368" s="103">
        <f t="shared" si="45"/>
        <v>11000.420786344712</v>
      </c>
      <c r="J368" s="103">
        <f>SUM($H$18:$H368)</f>
        <v>197830.26889486687</v>
      </c>
    </row>
    <row r="369" spans="1:10" x14ac:dyDescent="0.2">
      <c r="A369" s="101">
        <f>IF(Values_Entered,A368+1,"")</f>
        <v>352</v>
      </c>
      <c r="B369" s="102">
        <f t="shared" si="40"/>
        <v>55244</v>
      </c>
      <c r="C369" s="103">
        <f t="shared" si="46"/>
        <v>11000.420786344712</v>
      </c>
      <c r="D369" s="103">
        <f t="shared" si="41"/>
        <v>1244.5294817906613</v>
      </c>
      <c r="E369" s="104">
        <f t="shared" si="42"/>
        <v>0</v>
      </c>
      <c r="F369" s="103">
        <f t="shared" si="43"/>
        <v>1244.5294817906613</v>
      </c>
      <c r="G369" s="103">
        <f t="shared" si="44"/>
        <v>1204.6529564401617</v>
      </c>
      <c r="H369" s="103">
        <f t="shared" si="47"/>
        <v>39.876525350499577</v>
      </c>
      <c r="I369" s="103">
        <f t="shared" si="45"/>
        <v>9795.767829904551</v>
      </c>
      <c r="J369" s="103">
        <f>SUM($H$18:$H369)</f>
        <v>197870.14542021736</v>
      </c>
    </row>
    <row r="370" spans="1:10" x14ac:dyDescent="0.2">
      <c r="A370" s="101">
        <f>IF(Values_Entered,A369+1,"")</f>
        <v>353</v>
      </c>
      <c r="B370" s="102">
        <f t="shared" si="40"/>
        <v>55274</v>
      </c>
      <c r="C370" s="103">
        <f t="shared" si="46"/>
        <v>9795.767829904551</v>
      </c>
      <c r="D370" s="103">
        <f t="shared" si="41"/>
        <v>1244.5294817906613</v>
      </c>
      <c r="E370" s="104">
        <f t="shared" si="42"/>
        <v>0</v>
      </c>
      <c r="F370" s="103">
        <f t="shared" si="43"/>
        <v>1244.5294817906613</v>
      </c>
      <c r="G370" s="103">
        <f t="shared" si="44"/>
        <v>1209.0198234072573</v>
      </c>
      <c r="H370" s="103">
        <f t="shared" si="47"/>
        <v>35.509658383403995</v>
      </c>
      <c r="I370" s="103">
        <f t="shared" si="45"/>
        <v>8586.7480064972933</v>
      </c>
      <c r="J370" s="103">
        <f>SUM($H$18:$H370)</f>
        <v>197905.65507860077</v>
      </c>
    </row>
    <row r="371" spans="1:10" x14ac:dyDescent="0.2">
      <c r="A371" s="101">
        <f>IF(Values_Entered,A370+1,"")</f>
        <v>354</v>
      </c>
      <c r="B371" s="102">
        <f t="shared" si="40"/>
        <v>55305</v>
      </c>
      <c r="C371" s="103">
        <f t="shared" si="46"/>
        <v>8586.7480064972933</v>
      </c>
      <c r="D371" s="103">
        <f t="shared" si="41"/>
        <v>1244.5294817906613</v>
      </c>
      <c r="E371" s="104">
        <f t="shared" si="42"/>
        <v>0</v>
      </c>
      <c r="F371" s="103">
        <f t="shared" si="43"/>
        <v>1244.5294817906613</v>
      </c>
      <c r="G371" s="103">
        <f t="shared" si="44"/>
        <v>1213.4025202671087</v>
      </c>
      <c r="H371" s="103">
        <f t="shared" si="47"/>
        <v>31.126961523552684</v>
      </c>
      <c r="I371" s="103">
        <f t="shared" si="45"/>
        <v>7373.3454862301842</v>
      </c>
      <c r="J371" s="103">
        <f>SUM($H$18:$H371)</f>
        <v>197936.78204012432</v>
      </c>
    </row>
    <row r="372" spans="1:10" x14ac:dyDescent="0.2">
      <c r="A372" s="101">
        <f>IF(Values_Entered,A371+1,"")</f>
        <v>355</v>
      </c>
      <c r="B372" s="102">
        <f t="shared" si="40"/>
        <v>55335</v>
      </c>
      <c r="C372" s="103">
        <f t="shared" si="46"/>
        <v>7373.3454862301842</v>
      </c>
      <c r="D372" s="103">
        <f t="shared" si="41"/>
        <v>1244.5294817906613</v>
      </c>
      <c r="E372" s="104">
        <f t="shared" si="42"/>
        <v>0</v>
      </c>
      <c r="F372" s="103">
        <f t="shared" si="43"/>
        <v>1244.5294817906613</v>
      </c>
      <c r="G372" s="103">
        <f t="shared" si="44"/>
        <v>1217.8011044030768</v>
      </c>
      <c r="H372" s="103">
        <f t="shared" si="47"/>
        <v>26.728377387584416</v>
      </c>
      <c r="I372" s="103">
        <f t="shared" si="45"/>
        <v>6155.5443818271069</v>
      </c>
      <c r="J372" s="103">
        <f>SUM($H$18:$H372)</f>
        <v>197963.51041751192</v>
      </c>
    </row>
    <row r="373" spans="1:10" x14ac:dyDescent="0.2">
      <c r="A373" s="101">
        <f>IF(Values_Entered,A372+1,"")</f>
        <v>356</v>
      </c>
      <c r="B373" s="102">
        <f t="shared" si="40"/>
        <v>55366</v>
      </c>
      <c r="C373" s="103">
        <f t="shared" si="46"/>
        <v>6155.5443818271069</v>
      </c>
      <c r="D373" s="103">
        <f t="shared" si="41"/>
        <v>1244.5294817906613</v>
      </c>
      <c r="E373" s="104">
        <f t="shared" si="42"/>
        <v>0</v>
      </c>
      <c r="F373" s="103">
        <f t="shared" si="43"/>
        <v>1244.5294817906613</v>
      </c>
      <c r="G373" s="103">
        <f t="shared" si="44"/>
        <v>1222.215633406538</v>
      </c>
      <c r="H373" s="103">
        <f t="shared" si="47"/>
        <v>22.313848384123261</v>
      </c>
      <c r="I373" s="103">
        <f t="shared" si="45"/>
        <v>4933.3287484205684</v>
      </c>
      <c r="J373" s="103">
        <f>SUM($H$18:$H373)</f>
        <v>197985.82426589605</v>
      </c>
    </row>
    <row r="374" spans="1:10" x14ac:dyDescent="0.2">
      <c r="A374" s="101">
        <f>IF(Values_Entered,A373+1,"")</f>
        <v>357</v>
      </c>
      <c r="B374" s="102">
        <f t="shared" si="40"/>
        <v>55397</v>
      </c>
      <c r="C374" s="103">
        <f t="shared" si="46"/>
        <v>4933.3287484205684</v>
      </c>
      <c r="D374" s="103">
        <f t="shared" si="41"/>
        <v>1244.5294817906613</v>
      </c>
      <c r="E374" s="104">
        <f t="shared" si="42"/>
        <v>0</v>
      </c>
      <c r="F374" s="103">
        <f t="shared" si="43"/>
        <v>1244.5294817906613</v>
      </c>
      <c r="G374" s="103">
        <f t="shared" si="44"/>
        <v>1226.6461650776366</v>
      </c>
      <c r="H374" s="103">
        <f t="shared" si="47"/>
        <v>17.883316713024559</v>
      </c>
      <c r="I374" s="103">
        <f t="shared" si="45"/>
        <v>3706.682583342932</v>
      </c>
      <c r="J374" s="103">
        <f>SUM($H$18:$H374)</f>
        <v>198003.70758260909</v>
      </c>
    </row>
    <row r="375" spans="1:10" x14ac:dyDescent="0.2">
      <c r="A375" s="101">
        <f>IF(Values_Entered,A374+1,"")</f>
        <v>358</v>
      </c>
      <c r="B375" s="102">
        <f t="shared" si="40"/>
        <v>55427</v>
      </c>
      <c r="C375" s="103">
        <f t="shared" si="46"/>
        <v>3706.682583342932</v>
      </c>
      <c r="D375" s="103">
        <f t="shared" si="41"/>
        <v>1244.5294817906613</v>
      </c>
      <c r="E375" s="104">
        <f t="shared" si="42"/>
        <v>0</v>
      </c>
      <c r="F375" s="103">
        <f t="shared" si="43"/>
        <v>1244.5294817906613</v>
      </c>
      <c r="G375" s="103">
        <f t="shared" si="44"/>
        <v>1231.0927574260431</v>
      </c>
      <c r="H375" s="103">
        <f t="shared" si="47"/>
        <v>13.436724364618128</v>
      </c>
      <c r="I375" s="103">
        <f t="shared" si="45"/>
        <v>2475.5898259168889</v>
      </c>
      <c r="J375" s="103">
        <f>SUM($H$18:$H375)</f>
        <v>198017.1443069737</v>
      </c>
    </row>
    <row r="376" spans="1:10" x14ac:dyDescent="0.2">
      <c r="A376" s="101">
        <f>IF(Values_Entered,A375+1,"")</f>
        <v>359</v>
      </c>
      <c r="B376" s="102">
        <f t="shared" si="40"/>
        <v>55458</v>
      </c>
      <c r="C376" s="103">
        <f t="shared" si="46"/>
        <v>2475.5898259168889</v>
      </c>
      <c r="D376" s="103">
        <f t="shared" si="41"/>
        <v>1244.5294817906613</v>
      </c>
      <c r="E376" s="104">
        <f t="shared" si="42"/>
        <v>0</v>
      </c>
      <c r="F376" s="103">
        <f t="shared" si="43"/>
        <v>1244.5294817906613</v>
      </c>
      <c r="G376" s="103">
        <f t="shared" si="44"/>
        <v>1235.5554686717126</v>
      </c>
      <c r="H376" s="103">
        <f t="shared" si="47"/>
        <v>8.9740131189487222</v>
      </c>
      <c r="I376" s="103">
        <f t="shared" si="45"/>
        <v>1240.0343572451764</v>
      </c>
      <c r="J376" s="103">
        <f>SUM($H$18:$H376)</f>
        <v>198026.11832009265</v>
      </c>
    </row>
    <row r="377" spans="1:10" x14ac:dyDescent="0.2">
      <c r="A377" s="101">
        <f>IF(Values_Entered,A376+1,"")</f>
        <v>360</v>
      </c>
      <c r="B377" s="102">
        <f t="shared" si="40"/>
        <v>55488</v>
      </c>
      <c r="C377" s="103">
        <f t="shared" si="46"/>
        <v>1240.0343572451764</v>
      </c>
      <c r="D377" s="103">
        <f t="shared" si="41"/>
        <v>1244.5294817906613</v>
      </c>
      <c r="E377" s="104">
        <f t="shared" si="42"/>
        <v>0</v>
      </c>
      <c r="F377" s="103">
        <f t="shared" si="43"/>
        <v>1240.0343572451764</v>
      </c>
      <c r="G377" s="103">
        <f t="shared" si="44"/>
        <v>1235.5392327001625</v>
      </c>
      <c r="H377" s="103">
        <f t="shared" si="47"/>
        <v>4.4951245450137636</v>
      </c>
      <c r="I377" s="103">
        <f t="shared" si="45"/>
        <v>0</v>
      </c>
      <c r="J377" s="103">
        <f>SUM($H$18:$H377)</f>
        <v>198030.61344463765</v>
      </c>
    </row>
    <row r="378" spans="1:10" x14ac:dyDescent="0.2">
      <c r="A378" s="101">
        <f>IF(Values_Entered,A377+1,"")</f>
        <v>361</v>
      </c>
      <c r="B378" s="102">
        <f t="shared" si="40"/>
        <v>55519</v>
      </c>
      <c r="C378" s="103">
        <f t="shared" si="46"/>
        <v>0</v>
      </c>
      <c r="D378" s="103">
        <f t="shared" si="41"/>
        <v>1244.5294817906613</v>
      </c>
      <c r="E378" s="104">
        <f t="shared" si="42"/>
        <v>0</v>
      </c>
      <c r="F378" s="103">
        <f t="shared" si="43"/>
        <v>0</v>
      </c>
      <c r="G378" s="103">
        <f t="shared" si="44"/>
        <v>0</v>
      </c>
      <c r="H378" s="103">
        <f t="shared" si="47"/>
        <v>0</v>
      </c>
      <c r="I378" s="103">
        <f t="shared" si="45"/>
        <v>0</v>
      </c>
      <c r="J378" s="103">
        <f>SUM($H$18:$H378)</f>
        <v>198030.61344463765</v>
      </c>
    </row>
    <row r="379" spans="1:10" x14ac:dyDescent="0.2">
      <c r="A379" s="101">
        <f>IF(Values_Entered,A378+1,"")</f>
        <v>362</v>
      </c>
      <c r="B379" s="102">
        <f t="shared" si="40"/>
        <v>55550</v>
      </c>
      <c r="C379" s="103">
        <f t="shared" si="46"/>
        <v>0</v>
      </c>
      <c r="D379" s="103">
        <f t="shared" si="41"/>
        <v>1244.5294817906613</v>
      </c>
      <c r="E379" s="104">
        <f t="shared" si="42"/>
        <v>0</v>
      </c>
      <c r="F379" s="103">
        <f t="shared" si="43"/>
        <v>0</v>
      </c>
      <c r="G379" s="103">
        <f t="shared" si="44"/>
        <v>0</v>
      </c>
      <c r="H379" s="103">
        <f t="shared" si="47"/>
        <v>0</v>
      </c>
      <c r="I379" s="103">
        <f t="shared" si="45"/>
        <v>0</v>
      </c>
      <c r="J379" s="103">
        <f>SUM($H$18:$H379)</f>
        <v>198030.61344463765</v>
      </c>
    </row>
    <row r="380" spans="1:10" x14ac:dyDescent="0.2">
      <c r="A380" s="101">
        <f>IF(Values_Entered,A379+1,"")</f>
        <v>363</v>
      </c>
      <c r="B380" s="102">
        <f t="shared" si="40"/>
        <v>55579</v>
      </c>
      <c r="C380" s="103">
        <f t="shared" si="46"/>
        <v>0</v>
      </c>
      <c r="D380" s="103">
        <f t="shared" si="41"/>
        <v>1244.5294817906613</v>
      </c>
      <c r="E380" s="104">
        <f t="shared" si="42"/>
        <v>0</v>
      </c>
      <c r="F380" s="103">
        <f t="shared" si="43"/>
        <v>0</v>
      </c>
      <c r="G380" s="103">
        <f t="shared" si="44"/>
        <v>0</v>
      </c>
      <c r="H380" s="103">
        <f t="shared" si="47"/>
        <v>0</v>
      </c>
      <c r="I380" s="103">
        <f t="shared" si="45"/>
        <v>0</v>
      </c>
      <c r="J380" s="103">
        <f>SUM($H$18:$H380)</f>
        <v>198030.61344463765</v>
      </c>
    </row>
    <row r="381" spans="1:10" x14ac:dyDescent="0.2">
      <c r="A381" s="101">
        <f>IF(Values_Entered,A380+1,"")</f>
        <v>364</v>
      </c>
      <c r="B381" s="102">
        <f t="shared" si="40"/>
        <v>55610</v>
      </c>
      <c r="C381" s="103">
        <f t="shared" si="46"/>
        <v>0</v>
      </c>
      <c r="D381" s="103">
        <f t="shared" si="41"/>
        <v>1244.5294817906613</v>
      </c>
      <c r="E381" s="104">
        <f t="shared" si="42"/>
        <v>0</v>
      </c>
      <c r="F381" s="103">
        <f t="shared" si="43"/>
        <v>0</v>
      </c>
      <c r="G381" s="103">
        <f t="shared" si="44"/>
        <v>0</v>
      </c>
      <c r="H381" s="103">
        <f t="shared" si="47"/>
        <v>0</v>
      </c>
      <c r="I381" s="103">
        <f t="shared" si="45"/>
        <v>0</v>
      </c>
      <c r="J381" s="103">
        <f>SUM($H$18:$H381)</f>
        <v>198030.61344463765</v>
      </c>
    </row>
    <row r="382" spans="1:10" x14ac:dyDescent="0.2">
      <c r="A382" s="101">
        <f>IF(Values_Entered,A381+1,"")</f>
        <v>365</v>
      </c>
      <c r="B382" s="102">
        <f t="shared" si="40"/>
        <v>55640</v>
      </c>
      <c r="C382" s="103">
        <f t="shared" si="46"/>
        <v>0</v>
      </c>
      <c r="D382" s="103">
        <f t="shared" si="41"/>
        <v>1244.5294817906613</v>
      </c>
      <c r="E382" s="104">
        <f t="shared" si="42"/>
        <v>0</v>
      </c>
      <c r="F382" s="103">
        <f t="shared" si="43"/>
        <v>0</v>
      </c>
      <c r="G382" s="103">
        <f t="shared" si="44"/>
        <v>0</v>
      </c>
      <c r="H382" s="103">
        <f t="shared" si="47"/>
        <v>0</v>
      </c>
      <c r="I382" s="103">
        <f t="shared" si="45"/>
        <v>0</v>
      </c>
      <c r="J382" s="103">
        <f>SUM($H$18:$H382)</f>
        <v>198030.61344463765</v>
      </c>
    </row>
    <row r="383" spans="1:10" x14ac:dyDescent="0.2">
      <c r="A383" s="101">
        <f>IF(Values_Entered,A382+1,"")</f>
        <v>366</v>
      </c>
      <c r="B383" s="102">
        <f t="shared" si="40"/>
        <v>55671</v>
      </c>
      <c r="C383" s="103">
        <f t="shared" si="46"/>
        <v>0</v>
      </c>
      <c r="D383" s="103">
        <f t="shared" si="41"/>
        <v>1244.5294817906613</v>
      </c>
      <c r="E383" s="104">
        <f t="shared" si="42"/>
        <v>0</v>
      </c>
      <c r="F383" s="103">
        <f t="shared" si="43"/>
        <v>0</v>
      </c>
      <c r="G383" s="103">
        <f t="shared" si="44"/>
        <v>0</v>
      </c>
      <c r="H383" s="103">
        <f t="shared" si="47"/>
        <v>0</v>
      </c>
      <c r="I383" s="103">
        <f t="shared" si="45"/>
        <v>0</v>
      </c>
      <c r="J383" s="103">
        <f>SUM($H$18:$H383)</f>
        <v>198030.61344463765</v>
      </c>
    </row>
    <row r="384" spans="1:10" x14ac:dyDescent="0.2">
      <c r="A384" s="101">
        <f>IF(Values_Entered,A383+1,"")</f>
        <v>367</v>
      </c>
      <c r="B384" s="102">
        <f t="shared" si="40"/>
        <v>55701</v>
      </c>
      <c r="C384" s="103">
        <f t="shared" si="46"/>
        <v>0</v>
      </c>
      <c r="D384" s="103">
        <f t="shared" si="41"/>
        <v>1244.5294817906613</v>
      </c>
      <c r="E384" s="104">
        <f t="shared" si="42"/>
        <v>0</v>
      </c>
      <c r="F384" s="103">
        <f t="shared" si="43"/>
        <v>0</v>
      </c>
      <c r="G384" s="103">
        <f t="shared" si="44"/>
        <v>0</v>
      </c>
      <c r="H384" s="103">
        <f t="shared" si="47"/>
        <v>0</v>
      </c>
      <c r="I384" s="103">
        <f t="shared" si="45"/>
        <v>0</v>
      </c>
      <c r="J384" s="103">
        <f>SUM($H$18:$H384)</f>
        <v>198030.61344463765</v>
      </c>
    </row>
    <row r="385" spans="1:10" x14ac:dyDescent="0.2">
      <c r="A385" s="101">
        <f>IF(Values_Entered,A384+1,"")</f>
        <v>368</v>
      </c>
      <c r="B385" s="102">
        <f t="shared" si="40"/>
        <v>55732</v>
      </c>
      <c r="C385" s="103">
        <f t="shared" si="46"/>
        <v>0</v>
      </c>
      <c r="D385" s="103">
        <f t="shared" si="41"/>
        <v>1244.5294817906613</v>
      </c>
      <c r="E385" s="104">
        <f t="shared" si="42"/>
        <v>0</v>
      </c>
      <c r="F385" s="103">
        <f t="shared" si="43"/>
        <v>0</v>
      </c>
      <c r="G385" s="103">
        <f t="shared" si="44"/>
        <v>0</v>
      </c>
      <c r="H385" s="103">
        <f t="shared" si="47"/>
        <v>0</v>
      </c>
      <c r="I385" s="103">
        <f t="shared" si="45"/>
        <v>0</v>
      </c>
      <c r="J385" s="103">
        <f>SUM($H$18:$H385)</f>
        <v>198030.61344463765</v>
      </c>
    </row>
    <row r="386" spans="1:10" x14ac:dyDescent="0.2">
      <c r="A386" s="101">
        <f>IF(Values_Entered,A385+1,"")</f>
        <v>369</v>
      </c>
      <c r="B386" s="102">
        <f t="shared" si="40"/>
        <v>55763</v>
      </c>
      <c r="C386" s="103">
        <f t="shared" si="46"/>
        <v>0</v>
      </c>
      <c r="D386" s="103">
        <f t="shared" si="41"/>
        <v>1244.5294817906613</v>
      </c>
      <c r="E386" s="104">
        <f t="shared" si="42"/>
        <v>0</v>
      </c>
      <c r="F386" s="103">
        <f t="shared" si="43"/>
        <v>0</v>
      </c>
      <c r="G386" s="103">
        <f t="shared" si="44"/>
        <v>0</v>
      </c>
      <c r="H386" s="103">
        <f t="shared" si="47"/>
        <v>0</v>
      </c>
      <c r="I386" s="103">
        <f t="shared" si="45"/>
        <v>0</v>
      </c>
      <c r="J386" s="103">
        <f>SUM($H$18:$H386)</f>
        <v>198030.61344463765</v>
      </c>
    </row>
    <row r="387" spans="1:10" x14ac:dyDescent="0.2">
      <c r="A387" s="101">
        <f>IF(Values_Entered,A386+1,"")</f>
        <v>370</v>
      </c>
      <c r="B387" s="102">
        <f t="shared" si="40"/>
        <v>55793</v>
      </c>
      <c r="C387" s="103">
        <f t="shared" si="46"/>
        <v>0</v>
      </c>
      <c r="D387" s="103">
        <f t="shared" si="41"/>
        <v>1244.5294817906613</v>
      </c>
      <c r="E387" s="104">
        <f t="shared" si="42"/>
        <v>0</v>
      </c>
      <c r="F387" s="103">
        <f t="shared" si="43"/>
        <v>0</v>
      </c>
      <c r="G387" s="103">
        <f t="shared" si="44"/>
        <v>0</v>
      </c>
      <c r="H387" s="103">
        <f t="shared" si="47"/>
        <v>0</v>
      </c>
      <c r="I387" s="103">
        <f t="shared" si="45"/>
        <v>0</v>
      </c>
      <c r="J387" s="103">
        <f>SUM($H$18:$H387)</f>
        <v>198030.61344463765</v>
      </c>
    </row>
    <row r="388" spans="1:10" x14ac:dyDescent="0.2">
      <c r="A388" s="101">
        <f>IF(Values_Entered,A387+1,"")</f>
        <v>371</v>
      </c>
      <c r="B388" s="102">
        <f t="shared" si="40"/>
        <v>55824</v>
      </c>
      <c r="C388" s="103">
        <f t="shared" si="46"/>
        <v>0</v>
      </c>
      <c r="D388" s="103">
        <f t="shared" si="41"/>
        <v>1244.5294817906613</v>
      </c>
      <c r="E388" s="104">
        <f t="shared" si="42"/>
        <v>0</v>
      </c>
      <c r="F388" s="103">
        <f t="shared" si="43"/>
        <v>0</v>
      </c>
      <c r="G388" s="103">
        <f t="shared" si="44"/>
        <v>0</v>
      </c>
      <c r="H388" s="103">
        <f t="shared" si="47"/>
        <v>0</v>
      </c>
      <c r="I388" s="103">
        <f t="shared" si="45"/>
        <v>0</v>
      </c>
      <c r="J388" s="103">
        <f>SUM($H$18:$H388)</f>
        <v>198030.61344463765</v>
      </c>
    </row>
    <row r="389" spans="1:10" x14ac:dyDescent="0.2">
      <c r="A389" s="101">
        <f>IF(Values_Entered,A388+1,"")</f>
        <v>372</v>
      </c>
      <c r="B389" s="102">
        <f t="shared" si="40"/>
        <v>55854</v>
      </c>
      <c r="C389" s="103">
        <f t="shared" si="46"/>
        <v>0</v>
      </c>
      <c r="D389" s="103">
        <f t="shared" si="41"/>
        <v>1244.5294817906613</v>
      </c>
      <c r="E389" s="104">
        <f t="shared" si="42"/>
        <v>0</v>
      </c>
      <c r="F389" s="103">
        <f t="shared" si="43"/>
        <v>0</v>
      </c>
      <c r="G389" s="103">
        <f t="shared" si="44"/>
        <v>0</v>
      </c>
      <c r="H389" s="103">
        <f t="shared" si="47"/>
        <v>0</v>
      </c>
      <c r="I389" s="103">
        <f t="shared" si="45"/>
        <v>0</v>
      </c>
      <c r="J389" s="103">
        <f>SUM($H$18:$H389)</f>
        <v>198030.61344463765</v>
      </c>
    </row>
    <row r="390" spans="1:10" x14ac:dyDescent="0.2">
      <c r="A390" s="101">
        <f>IF(Values_Entered,A389+1,"")</f>
        <v>373</v>
      </c>
      <c r="B390" s="102">
        <f t="shared" si="40"/>
        <v>55885</v>
      </c>
      <c r="C390" s="103">
        <f t="shared" si="46"/>
        <v>0</v>
      </c>
      <c r="D390" s="103">
        <f t="shared" si="41"/>
        <v>1244.5294817906613</v>
      </c>
      <c r="E390" s="104">
        <f t="shared" si="42"/>
        <v>0</v>
      </c>
      <c r="F390" s="103">
        <f t="shared" si="43"/>
        <v>0</v>
      </c>
      <c r="G390" s="103">
        <f t="shared" si="44"/>
        <v>0</v>
      </c>
      <c r="H390" s="103">
        <f t="shared" si="47"/>
        <v>0</v>
      </c>
      <c r="I390" s="103">
        <f t="shared" si="45"/>
        <v>0</v>
      </c>
      <c r="J390" s="103">
        <f>SUM($H$18:$H390)</f>
        <v>198030.61344463765</v>
      </c>
    </row>
    <row r="391" spans="1:10" x14ac:dyDescent="0.2">
      <c r="A391" s="101">
        <f>IF(Values_Entered,A390+1,"")</f>
        <v>374</v>
      </c>
      <c r="B391" s="102">
        <f t="shared" si="40"/>
        <v>55916</v>
      </c>
      <c r="C391" s="103">
        <f t="shared" si="46"/>
        <v>0</v>
      </c>
      <c r="D391" s="103">
        <f t="shared" si="41"/>
        <v>1244.5294817906613</v>
      </c>
      <c r="E391" s="104">
        <f t="shared" si="42"/>
        <v>0</v>
      </c>
      <c r="F391" s="103">
        <f t="shared" si="43"/>
        <v>0</v>
      </c>
      <c r="G391" s="103">
        <f t="shared" si="44"/>
        <v>0</v>
      </c>
      <c r="H391" s="103">
        <f t="shared" si="47"/>
        <v>0</v>
      </c>
      <c r="I391" s="103">
        <f t="shared" si="45"/>
        <v>0</v>
      </c>
      <c r="J391" s="103">
        <f>SUM($H$18:$H391)</f>
        <v>198030.61344463765</v>
      </c>
    </row>
    <row r="392" spans="1:10" x14ac:dyDescent="0.2">
      <c r="A392" s="101">
        <f>IF(Values_Entered,A391+1,"")</f>
        <v>375</v>
      </c>
      <c r="B392" s="102">
        <f t="shared" si="40"/>
        <v>55944</v>
      </c>
      <c r="C392" s="103">
        <f t="shared" si="46"/>
        <v>0</v>
      </c>
      <c r="D392" s="103">
        <f t="shared" si="41"/>
        <v>1244.5294817906613</v>
      </c>
      <c r="E392" s="104">
        <f t="shared" si="42"/>
        <v>0</v>
      </c>
      <c r="F392" s="103">
        <f t="shared" si="43"/>
        <v>0</v>
      </c>
      <c r="G392" s="103">
        <f t="shared" si="44"/>
        <v>0</v>
      </c>
      <c r="H392" s="103">
        <f t="shared" si="47"/>
        <v>0</v>
      </c>
      <c r="I392" s="103">
        <f t="shared" si="45"/>
        <v>0</v>
      </c>
      <c r="J392" s="103">
        <f>SUM($H$18:$H392)</f>
        <v>198030.61344463765</v>
      </c>
    </row>
    <row r="393" spans="1:10" x14ac:dyDescent="0.2">
      <c r="A393" s="101">
        <f>IF(Values_Entered,A392+1,"")</f>
        <v>376</v>
      </c>
      <c r="B393" s="102">
        <f t="shared" si="40"/>
        <v>55975</v>
      </c>
      <c r="C393" s="103">
        <f t="shared" si="46"/>
        <v>0</v>
      </c>
      <c r="D393" s="103">
        <f t="shared" si="41"/>
        <v>1244.5294817906613</v>
      </c>
      <c r="E393" s="104">
        <f t="shared" si="42"/>
        <v>0</v>
      </c>
      <c r="F393" s="103">
        <f t="shared" si="43"/>
        <v>0</v>
      </c>
      <c r="G393" s="103">
        <f t="shared" si="44"/>
        <v>0</v>
      </c>
      <c r="H393" s="103">
        <f t="shared" si="47"/>
        <v>0</v>
      </c>
      <c r="I393" s="103">
        <f t="shared" si="45"/>
        <v>0</v>
      </c>
      <c r="J393" s="103">
        <f>SUM($H$18:$H393)</f>
        <v>198030.61344463765</v>
      </c>
    </row>
    <row r="394" spans="1:10" x14ac:dyDescent="0.2">
      <c r="A394" s="101">
        <f>IF(Values_Entered,A393+1,"")</f>
        <v>377</v>
      </c>
      <c r="B394" s="102">
        <f t="shared" si="40"/>
        <v>56005</v>
      </c>
      <c r="C394" s="103">
        <f t="shared" si="46"/>
        <v>0</v>
      </c>
      <c r="D394" s="103">
        <f t="shared" si="41"/>
        <v>1244.5294817906613</v>
      </c>
      <c r="E394" s="104">
        <f t="shared" si="42"/>
        <v>0</v>
      </c>
      <c r="F394" s="103">
        <f t="shared" si="43"/>
        <v>0</v>
      </c>
      <c r="G394" s="103">
        <f t="shared" si="44"/>
        <v>0</v>
      </c>
      <c r="H394" s="103">
        <f t="shared" si="47"/>
        <v>0</v>
      </c>
      <c r="I394" s="103">
        <f t="shared" si="45"/>
        <v>0</v>
      </c>
      <c r="J394" s="103">
        <f>SUM($H$18:$H394)</f>
        <v>198030.61344463765</v>
      </c>
    </row>
    <row r="395" spans="1:10" x14ac:dyDescent="0.2">
      <c r="A395" s="101">
        <f>IF(Values_Entered,A394+1,"")</f>
        <v>378</v>
      </c>
      <c r="B395" s="102">
        <f t="shared" si="40"/>
        <v>56036</v>
      </c>
      <c r="C395" s="103">
        <f t="shared" si="46"/>
        <v>0</v>
      </c>
      <c r="D395" s="103">
        <f t="shared" si="41"/>
        <v>1244.5294817906613</v>
      </c>
      <c r="E395" s="104">
        <f t="shared" si="42"/>
        <v>0</v>
      </c>
      <c r="F395" s="103">
        <f t="shared" si="43"/>
        <v>0</v>
      </c>
      <c r="G395" s="103">
        <f t="shared" si="44"/>
        <v>0</v>
      </c>
      <c r="H395" s="103">
        <f t="shared" si="47"/>
        <v>0</v>
      </c>
      <c r="I395" s="103">
        <f t="shared" si="45"/>
        <v>0</v>
      </c>
      <c r="J395" s="103">
        <f>SUM($H$18:$H395)</f>
        <v>198030.61344463765</v>
      </c>
    </row>
    <row r="396" spans="1:10" x14ac:dyDescent="0.2">
      <c r="A396" s="101">
        <f>IF(Values_Entered,A395+1,"")</f>
        <v>379</v>
      </c>
      <c r="B396" s="102">
        <f t="shared" si="40"/>
        <v>56066</v>
      </c>
      <c r="C396" s="103">
        <f t="shared" si="46"/>
        <v>0</v>
      </c>
      <c r="D396" s="103">
        <f t="shared" si="41"/>
        <v>1244.5294817906613</v>
      </c>
      <c r="E396" s="104">
        <f t="shared" si="42"/>
        <v>0</v>
      </c>
      <c r="F396" s="103">
        <f t="shared" si="43"/>
        <v>0</v>
      </c>
      <c r="G396" s="103">
        <f t="shared" si="44"/>
        <v>0</v>
      </c>
      <c r="H396" s="103">
        <f t="shared" si="47"/>
        <v>0</v>
      </c>
      <c r="I396" s="103">
        <f t="shared" si="45"/>
        <v>0</v>
      </c>
      <c r="J396" s="103">
        <f>SUM($H$18:$H396)</f>
        <v>198030.61344463765</v>
      </c>
    </row>
    <row r="397" spans="1:10" x14ac:dyDescent="0.2">
      <c r="A397" s="101">
        <f>IF(Values_Entered,A396+1,"")</f>
        <v>380</v>
      </c>
      <c r="B397" s="102">
        <f t="shared" si="40"/>
        <v>56097</v>
      </c>
      <c r="C397" s="103">
        <f t="shared" si="46"/>
        <v>0</v>
      </c>
      <c r="D397" s="103">
        <f t="shared" si="41"/>
        <v>1244.5294817906613</v>
      </c>
      <c r="E397" s="104">
        <f t="shared" si="42"/>
        <v>0</v>
      </c>
      <c r="F397" s="103">
        <f t="shared" si="43"/>
        <v>0</v>
      </c>
      <c r="G397" s="103">
        <f t="shared" si="44"/>
        <v>0</v>
      </c>
      <c r="H397" s="103">
        <f t="shared" si="47"/>
        <v>0</v>
      </c>
      <c r="I397" s="103">
        <f t="shared" si="45"/>
        <v>0</v>
      </c>
      <c r="J397" s="103">
        <f>SUM($H$18:$H397)</f>
        <v>198030.61344463765</v>
      </c>
    </row>
    <row r="398" spans="1:10" x14ac:dyDescent="0.2">
      <c r="A398" s="101">
        <f>IF(Values_Entered,A397+1,"")</f>
        <v>381</v>
      </c>
      <c r="B398" s="102">
        <f t="shared" si="40"/>
        <v>56128</v>
      </c>
      <c r="C398" s="103">
        <f t="shared" si="46"/>
        <v>0</v>
      </c>
      <c r="D398" s="103">
        <f t="shared" si="41"/>
        <v>1244.5294817906613</v>
      </c>
      <c r="E398" s="104">
        <f t="shared" si="42"/>
        <v>0</v>
      </c>
      <c r="F398" s="103">
        <f t="shared" si="43"/>
        <v>0</v>
      </c>
      <c r="G398" s="103">
        <f t="shared" si="44"/>
        <v>0</v>
      </c>
      <c r="H398" s="103">
        <f t="shared" si="47"/>
        <v>0</v>
      </c>
      <c r="I398" s="103">
        <f t="shared" si="45"/>
        <v>0</v>
      </c>
      <c r="J398" s="103">
        <f>SUM($H$18:$H398)</f>
        <v>198030.61344463765</v>
      </c>
    </row>
    <row r="399" spans="1:10" x14ac:dyDescent="0.2">
      <c r="A399" s="101">
        <f>IF(Values_Entered,A398+1,"")</f>
        <v>382</v>
      </c>
      <c r="B399" s="102">
        <f t="shared" si="40"/>
        <v>56158</v>
      </c>
      <c r="C399" s="103">
        <f t="shared" si="46"/>
        <v>0</v>
      </c>
      <c r="D399" s="103">
        <f t="shared" si="41"/>
        <v>1244.5294817906613</v>
      </c>
      <c r="E399" s="104">
        <f t="shared" si="42"/>
        <v>0</v>
      </c>
      <c r="F399" s="103">
        <f t="shared" si="43"/>
        <v>0</v>
      </c>
      <c r="G399" s="103">
        <f t="shared" si="44"/>
        <v>0</v>
      </c>
      <c r="H399" s="103">
        <f t="shared" si="47"/>
        <v>0</v>
      </c>
      <c r="I399" s="103">
        <f t="shared" si="45"/>
        <v>0</v>
      </c>
      <c r="J399" s="103">
        <f>SUM($H$18:$H399)</f>
        <v>198030.61344463765</v>
      </c>
    </row>
    <row r="400" spans="1:10" x14ac:dyDescent="0.2">
      <c r="A400" s="101">
        <f>IF(Values_Entered,A399+1,"")</f>
        <v>383</v>
      </c>
      <c r="B400" s="102">
        <f t="shared" si="40"/>
        <v>56189</v>
      </c>
      <c r="C400" s="103">
        <f t="shared" si="46"/>
        <v>0</v>
      </c>
      <c r="D400" s="103">
        <f t="shared" si="41"/>
        <v>1244.5294817906613</v>
      </c>
      <c r="E400" s="104">
        <f t="shared" si="42"/>
        <v>0</v>
      </c>
      <c r="F400" s="103">
        <f t="shared" si="43"/>
        <v>0</v>
      </c>
      <c r="G400" s="103">
        <f t="shared" si="44"/>
        <v>0</v>
      </c>
      <c r="H400" s="103">
        <f t="shared" si="47"/>
        <v>0</v>
      </c>
      <c r="I400" s="103">
        <f t="shared" si="45"/>
        <v>0</v>
      </c>
      <c r="J400" s="103">
        <f>SUM($H$18:$H400)</f>
        <v>198030.61344463765</v>
      </c>
    </row>
    <row r="401" spans="1:10" x14ac:dyDescent="0.2">
      <c r="A401" s="101">
        <f>IF(Values_Entered,A400+1,"")</f>
        <v>384</v>
      </c>
      <c r="B401" s="102">
        <f t="shared" si="40"/>
        <v>56219</v>
      </c>
      <c r="C401" s="103">
        <f t="shared" si="46"/>
        <v>0</v>
      </c>
      <c r="D401" s="103">
        <f t="shared" si="41"/>
        <v>1244.5294817906613</v>
      </c>
      <c r="E401" s="104">
        <f t="shared" si="42"/>
        <v>0</v>
      </c>
      <c r="F401" s="103">
        <f t="shared" si="43"/>
        <v>0</v>
      </c>
      <c r="G401" s="103">
        <f t="shared" si="44"/>
        <v>0</v>
      </c>
      <c r="H401" s="103">
        <f t="shared" si="47"/>
        <v>0</v>
      </c>
      <c r="I401" s="103">
        <f t="shared" si="45"/>
        <v>0</v>
      </c>
      <c r="J401" s="103">
        <f>SUM($H$18:$H401)</f>
        <v>198030.61344463765</v>
      </c>
    </row>
    <row r="402" spans="1:10" x14ac:dyDescent="0.2">
      <c r="A402" s="101">
        <f>IF(Values_Entered,A401+1,"")</f>
        <v>385</v>
      </c>
      <c r="B402" s="102">
        <f t="shared" ref="B402:B465" si="48">IF(Pay_Num&lt;&gt;"",DATE(YEAR(Loan_Start),MONTH(Loan_Start)+(Pay_Num)*12/Num_Pmt_Per_Year,DAY(Loan_Start)),"")</f>
        <v>56250</v>
      </c>
      <c r="C402" s="103">
        <f t="shared" si="46"/>
        <v>0</v>
      </c>
      <c r="D402" s="103">
        <f t="shared" ref="D402:D465" si="49">IF(Pay_Num&lt;&gt;"",Scheduled_Monthly_Payment,"")</f>
        <v>1244.5294817906613</v>
      </c>
      <c r="E402" s="104">
        <f t="shared" ref="E402:E465" si="50">IF(AND(Pay_Num&lt;&gt;"",Sched_Pay+Scheduled_Extra_Payments&lt;Beg_Bal),Scheduled_Extra_Payments,IF(AND(Pay_Num&lt;&gt;"",Beg_Bal-Sched_Pay&gt;0),Beg_Bal-Sched_Pay,IF(Pay_Num&lt;&gt;"",0,"")))</f>
        <v>0</v>
      </c>
      <c r="F402" s="103">
        <f t="shared" ref="F402:F465" si="51">IF(AND(Pay_Num&lt;&gt;"",Sched_Pay+Extra_Pay&lt;Beg_Bal),Sched_Pay+Extra_Pay,IF(Pay_Num&lt;&gt;"",Beg_Bal,""))</f>
        <v>0</v>
      </c>
      <c r="G402" s="103">
        <f t="shared" ref="G402:G465" si="52">IF(Pay_Num&lt;&gt;"",Total_Pay-Int,"")</f>
        <v>0</v>
      </c>
      <c r="H402" s="103">
        <f t="shared" si="47"/>
        <v>0</v>
      </c>
      <c r="I402" s="103">
        <f t="shared" ref="I402:I465" si="53">IF(AND(Pay_Num&lt;&gt;"",Sched_Pay+Extra_Pay&lt;Beg_Bal),Beg_Bal-Princ,IF(Pay_Num&lt;&gt;"",0,""))</f>
        <v>0</v>
      </c>
      <c r="J402" s="103">
        <f>SUM($H$18:$H402)</f>
        <v>198030.61344463765</v>
      </c>
    </row>
    <row r="403" spans="1:10" x14ac:dyDescent="0.2">
      <c r="A403" s="101">
        <f>IF(Values_Entered,A402+1,"")</f>
        <v>386</v>
      </c>
      <c r="B403" s="102">
        <f t="shared" si="48"/>
        <v>56281</v>
      </c>
      <c r="C403" s="103">
        <f t="shared" ref="C403:C466" si="54">IF(Pay_Num&lt;&gt;"",I402,"")</f>
        <v>0</v>
      </c>
      <c r="D403" s="103">
        <f t="shared" si="49"/>
        <v>1244.5294817906613</v>
      </c>
      <c r="E403" s="104">
        <f t="shared" si="50"/>
        <v>0</v>
      </c>
      <c r="F403" s="103">
        <f t="shared" si="51"/>
        <v>0</v>
      </c>
      <c r="G403" s="103">
        <f t="shared" si="52"/>
        <v>0</v>
      </c>
      <c r="H403" s="103">
        <f t="shared" ref="H403:H466" si="55">IF(Pay_Num&lt;&gt;"",Beg_Bal*Interest_Rate/Num_Pmt_Per_Year,"")</f>
        <v>0</v>
      </c>
      <c r="I403" s="103">
        <f t="shared" si="53"/>
        <v>0</v>
      </c>
      <c r="J403" s="103">
        <f>SUM($H$18:$H403)</f>
        <v>198030.61344463765</v>
      </c>
    </row>
    <row r="404" spans="1:10" x14ac:dyDescent="0.2">
      <c r="A404" s="101">
        <f>IF(Values_Entered,A403+1,"")</f>
        <v>387</v>
      </c>
      <c r="B404" s="102">
        <f t="shared" si="48"/>
        <v>56309</v>
      </c>
      <c r="C404" s="103">
        <f t="shared" si="54"/>
        <v>0</v>
      </c>
      <c r="D404" s="103">
        <f t="shared" si="49"/>
        <v>1244.5294817906613</v>
      </c>
      <c r="E404" s="104">
        <f t="shared" si="50"/>
        <v>0</v>
      </c>
      <c r="F404" s="103">
        <f t="shared" si="51"/>
        <v>0</v>
      </c>
      <c r="G404" s="103">
        <f t="shared" si="52"/>
        <v>0</v>
      </c>
      <c r="H404" s="103">
        <f t="shared" si="55"/>
        <v>0</v>
      </c>
      <c r="I404" s="103">
        <f t="shared" si="53"/>
        <v>0</v>
      </c>
      <c r="J404" s="103">
        <f>SUM($H$18:$H404)</f>
        <v>198030.61344463765</v>
      </c>
    </row>
    <row r="405" spans="1:10" x14ac:dyDescent="0.2">
      <c r="A405" s="101">
        <f>IF(Values_Entered,A404+1,"")</f>
        <v>388</v>
      </c>
      <c r="B405" s="102">
        <f t="shared" si="48"/>
        <v>56340</v>
      </c>
      <c r="C405" s="103">
        <f t="shared" si="54"/>
        <v>0</v>
      </c>
      <c r="D405" s="103">
        <f t="shared" si="49"/>
        <v>1244.5294817906613</v>
      </c>
      <c r="E405" s="104">
        <f t="shared" si="50"/>
        <v>0</v>
      </c>
      <c r="F405" s="103">
        <f t="shared" si="51"/>
        <v>0</v>
      </c>
      <c r="G405" s="103">
        <f t="shared" si="52"/>
        <v>0</v>
      </c>
      <c r="H405" s="103">
        <f t="shared" si="55"/>
        <v>0</v>
      </c>
      <c r="I405" s="103">
        <f t="shared" si="53"/>
        <v>0</v>
      </c>
      <c r="J405" s="103">
        <f>SUM($H$18:$H405)</f>
        <v>198030.61344463765</v>
      </c>
    </row>
    <row r="406" spans="1:10" x14ac:dyDescent="0.2">
      <c r="A406" s="101">
        <f>IF(Values_Entered,A405+1,"")</f>
        <v>389</v>
      </c>
      <c r="B406" s="102">
        <f t="shared" si="48"/>
        <v>56370</v>
      </c>
      <c r="C406" s="103">
        <f t="shared" si="54"/>
        <v>0</v>
      </c>
      <c r="D406" s="103">
        <f t="shared" si="49"/>
        <v>1244.5294817906613</v>
      </c>
      <c r="E406" s="104">
        <f t="shared" si="50"/>
        <v>0</v>
      </c>
      <c r="F406" s="103">
        <f t="shared" si="51"/>
        <v>0</v>
      </c>
      <c r="G406" s="103">
        <f t="shared" si="52"/>
        <v>0</v>
      </c>
      <c r="H406" s="103">
        <f t="shared" si="55"/>
        <v>0</v>
      </c>
      <c r="I406" s="103">
        <f t="shared" si="53"/>
        <v>0</v>
      </c>
      <c r="J406" s="103">
        <f>SUM($H$18:$H406)</f>
        <v>198030.61344463765</v>
      </c>
    </row>
    <row r="407" spans="1:10" x14ac:dyDescent="0.2">
      <c r="A407" s="101">
        <f>IF(Values_Entered,A406+1,"")</f>
        <v>390</v>
      </c>
      <c r="B407" s="102">
        <f t="shared" si="48"/>
        <v>56401</v>
      </c>
      <c r="C407" s="103">
        <f t="shared" si="54"/>
        <v>0</v>
      </c>
      <c r="D407" s="103">
        <f t="shared" si="49"/>
        <v>1244.5294817906613</v>
      </c>
      <c r="E407" s="104">
        <f t="shared" si="50"/>
        <v>0</v>
      </c>
      <c r="F407" s="103">
        <f t="shared" si="51"/>
        <v>0</v>
      </c>
      <c r="G407" s="103">
        <f t="shared" si="52"/>
        <v>0</v>
      </c>
      <c r="H407" s="103">
        <f t="shared" si="55"/>
        <v>0</v>
      </c>
      <c r="I407" s="103">
        <f t="shared" si="53"/>
        <v>0</v>
      </c>
      <c r="J407" s="103">
        <f>SUM($H$18:$H407)</f>
        <v>198030.61344463765</v>
      </c>
    </row>
    <row r="408" spans="1:10" x14ac:dyDescent="0.2">
      <c r="A408" s="101">
        <f>IF(Values_Entered,A407+1,"")</f>
        <v>391</v>
      </c>
      <c r="B408" s="102">
        <f t="shared" si="48"/>
        <v>56431</v>
      </c>
      <c r="C408" s="103">
        <f t="shared" si="54"/>
        <v>0</v>
      </c>
      <c r="D408" s="103">
        <f t="shared" si="49"/>
        <v>1244.5294817906613</v>
      </c>
      <c r="E408" s="104">
        <f t="shared" si="50"/>
        <v>0</v>
      </c>
      <c r="F408" s="103">
        <f t="shared" si="51"/>
        <v>0</v>
      </c>
      <c r="G408" s="103">
        <f t="shared" si="52"/>
        <v>0</v>
      </c>
      <c r="H408" s="103">
        <f t="shared" si="55"/>
        <v>0</v>
      </c>
      <c r="I408" s="103">
        <f t="shared" si="53"/>
        <v>0</v>
      </c>
      <c r="J408" s="103">
        <f>SUM($H$18:$H408)</f>
        <v>198030.61344463765</v>
      </c>
    </row>
    <row r="409" spans="1:10" x14ac:dyDescent="0.2">
      <c r="A409" s="101">
        <f>IF(Values_Entered,A408+1,"")</f>
        <v>392</v>
      </c>
      <c r="B409" s="102">
        <f t="shared" si="48"/>
        <v>56462</v>
      </c>
      <c r="C409" s="103">
        <f t="shared" si="54"/>
        <v>0</v>
      </c>
      <c r="D409" s="103">
        <f t="shared" si="49"/>
        <v>1244.5294817906613</v>
      </c>
      <c r="E409" s="104">
        <f t="shared" si="50"/>
        <v>0</v>
      </c>
      <c r="F409" s="103">
        <f t="shared" si="51"/>
        <v>0</v>
      </c>
      <c r="G409" s="103">
        <f t="shared" si="52"/>
        <v>0</v>
      </c>
      <c r="H409" s="103">
        <f t="shared" si="55"/>
        <v>0</v>
      </c>
      <c r="I409" s="103">
        <f t="shared" si="53"/>
        <v>0</v>
      </c>
      <c r="J409" s="103">
        <f>SUM($H$18:$H409)</f>
        <v>198030.61344463765</v>
      </c>
    </row>
    <row r="410" spans="1:10" x14ac:dyDescent="0.2">
      <c r="A410" s="101">
        <f>IF(Values_Entered,A409+1,"")</f>
        <v>393</v>
      </c>
      <c r="B410" s="102">
        <f t="shared" si="48"/>
        <v>56493</v>
      </c>
      <c r="C410" s="103">
        <f t="shared" si="54"/>
        <v>0</v>
      </c>
      <c r="D410" s="103">
        <f t="shared" si="49"/>
        <v>1244.5294817906613</v>
      </c>
      <c r="E410" s="104">
        <f t="shared" si="50"/>
        <v>0</v>
      </c>
      <c r="F410" s="103">
        <f t="shared" si="51"/>
        <v>0</v>
      </c>
      <c r="G410" s="103">
        <f t="shared" si="52"/>
        <v>0</v>
      </c>
      <c r="H410" s="103">
        <f t="shared" si="55"/>
        <v>0</v>
      </c>
      <c r="I410" s="103">
        <f t="shared" si="53"/>
        <v>0</v>
      </c>
      <c r="J410" s="103">
        <f>SUM($H$18:$H410)</f>
        <v>198030.61344463765</v>
      </c>
    </row>
    <row r="411" spans="1:10" x14ac:dyDescent="0.2">
      <c r="A411" s="101">
        <f>IF(Values_Entered,A410+1,"")</f>
        <v>394</v>
      </c>
      <c r="B411" s="102">
        <f t="shared" si="48"/>
        <v>56523</v>
      </c>
      <c r="C411" s="103">
        <f t="shared" si="54"/>
        <v>0</v>
      </c>
      <c r="D411" s="103">
        <f t="shared" si="49"/>
        <v>1244.5294817906613</v>
      </c>
      <c r="E411" s="104">
        <f t="shared" si="50"/>
        <v>0</v>
      </c>
      <c r="F411" s="103">
        <f t="shared" si="51"/>
        <v>0</v>
      </c>
      <c r="G411" s="103">
        <f t="shared" si="52"/>
        <v>0</v>
      </c>
      <c r="H411" s="103">
        <f t="shared" si="55"/>
        <v>0</v>
      </c>
      <c r="I411" s="103">
        <f t="shared" si="53"/>
        <v>0</v>
      </c>
      <c r="J411" s="103">
        <f>SUM($H$18:$H411)</f>
        <v>198030.61344463765</v>
      </c>
    </row>
    <row r="412" spans="1:10" x14ac:dyDescent="0.2">
      <c r="A412" s="101">
        <f>IF(Values_Entered,A411+1,"")</f>
        <v>395</v>
      </c>
      <c r="B412" s="102">
        <f t="shared" si="48"/>
        <v>56554</v>
      </c>
      <c r="C412" s="103">
        <f t="shared" si="54"/>
        <v>0</v>
      </c>
      <c r="D412" s="103">
        <f t="shared" si="49"/>
        <v>1244.5294817906613</v>
      </c>
      <c r="E412" s="104">
        <f t="shared" si="50"/>
        <v>0</v>
      </c>
      <c r="F412" s="103">
        <f t="shared" si="51"/>
        <v>0</v>
      </c>
      <c r="G412" s="103">
        <f t="shared" si="52"/>
        <v>0</v>
      </c>
      <c r="H412" s="103">
        <f t="shared" si="55"/>
        <v>0</v>
      </c>
      <c r="I412" s="103">
        <f t="shared" si="53"/>
        <v>0</v>
      </c>
      <c r="J412" s="103">
        <f>SUM($H$18:$H412)</f>
        <v>198030.61344463765</v>
      </c>
    </row>
    <row r="413" spans="1:10" x14ac:dyDescent="0.2">
      <c r="A413" s="101">
        <f>IF(Values_Entered,A412+1,"")</f>
        <v>396</v>
      </c>
      <c r="B413" s="102">
        <f t="shared" si="48"/>
        <v>56584</v>
      </c>
      <c r="C413" s="103">
        <f t="shared" si="54"/>
        <v>0</v>
      </c>
      <c r="D413" s="103">
        <f t="shared" si="49"/>
        <v>1244.5294817906613</v>
      </c>
      <c r="E413" s="104">
        <f t="shared" si="50"/>
        <v>0</v>
      </c>
      <c r="F413" s="103">
        <f t="shared" si="51"/>
        <v>0</v>
      </c>
      <c r="G413" s="103">
        <f t="shared" si="52"/>
        <v>0</v>
      </c>
      <c r="H413" s="103">
        <f t="shared" si="55"/>
        <v>0</v>
      </c>
      <c r="I413" s="103">
        <f t="shared" si="53"/>
        <v>0</v>
      </c>
      <c r="J413" s="103">
        <f>SUM($H$18:$H413)</f>
        <v>198030.61344463765</v>
      </c>
    </row>
    <row r="414" spans="1:10" x14ac:dyDescent="0.2">
      <c r="A414" s="101">
        <f>IF(Values_Entered,A413+1,"")</f>
        <v>397</v>
      </c>
      <c r="B414" s="102">
        <f t="shared" si="48"/>
        <v>56615</v>
      </c>
      <c r="C414" s="103">
        <f t="shared" si="54"/>
        <v>0</v>
      </c>
      <c r="D414" s="103">
        <f t="shared" si="49"/>
        <v>1244.5294817906613</v>
      </c>
      <c r="E414" s="104">
        <f t="shared" si="50"/>
        <v>0</v>
      </c>
      <c r="F414" s="103">
        <f t="shared" si="51"/>
        <v>0</v>
      </c>
      <c r="G414" s="103">
        <f t="shared" si="52"/>
        <v>0</v>
      </c>
      <c r="H414" s="103">
        <f t="shared" si="55"/>
        <v>0</v>
      </c>
      <c r="I414" s="103">
        <f t="shared" si="53"/>
        <v>0</v>
      </c>
      <c r="J414" s="103">
        <f>SUM($H$18:$H414)</f>
        <v>198030.61344463765</v>
      </c>
    </row>
    <row r="415" spans="1:10" x14ac:dyDescent="0.2">
      <c r="A415" s="101">
        <f>IF(Values_Entered,A414+1,"")</f>
        <v>398</v>
      </c>
      <c r="B415" s="102">
        <f t="shared" si="48"/>
        <v>56646</v>
      </c>
      <c r="C415" s="103">
        <f t="shared" si="54"/>
        <v>0</v>
      </c>
      <c r="D415" s="103">
        <f t="shared" si="49"/>
        <v>1244.5294817906613</v>
      </c>
      <c r="E415" s="104">
        <f t="shared" si="50"/>
        <v>0</v>
      </c>
      <c r="F415" s="103">
        <f t="shared" si="51"/>
        <v>0</v>
      </c>
      <c r="G415" s="103">
        <f t="shared" si="52"/>
        <v>0</v>
      </c>
      <c r="H415" s="103">
        <f t="shared" si="55"/>
        <v>0</v>
      </c>
      <c r="I415" s="103">
        <f t="shared" si="53"/>
        <v>0</v>
      </c>
      <c r="J415" s="103">
        <f>SUM($H$18:$H415)</f>
        <v>198030.61344463765</v>
      </c>
    </row>
    <row r="416" spans="1:10" x14ac:dyDescent="0.2">
      <c r="A416" s="101">
        <f>IF(Values_Entered,A415+1,"")</f>
        <v>399</v>
      </c>
      <c r="B416" s="102">
        <f t="shared" si="48"/>
        <v>56674</v>
      </c>
      <c r="C416" s="103">
        <f t="shared" si="54"/>
        <v>0</v>
      </c>
      <c r="D416" s="103">
        <f t="shared" si="49"/>
        <v>1244.5294817906613</v>
      </c>
      <c r="E416" s="104">
        <f t="shared" si="50"/>
        <v>0</v>
      </c>
      <c r="F416" s="103">
        <f t="shared" si="51"/>
        <v>0</v>
      </c>
      <c r="G416" s="103">
        <f t="shared" si="52"/>
        <v>0</v>
      </c>
      <c r="H416" s="103">
        <f t="shared" si="55"/>
        <v>0</v>
      </c>
      <c r="I416" s="103">
        <f t="shared" si="53"/>
        <v>0</v>
      </c>
      <c r="J416" s="103">
        <f>SUM($H$18:$H416)</f>
        <v>198030.61344463765</v>
      </c>
    </row>
    <row r="417" spans="1:10" x14ac:dyDescent="0.2">
      <c r="A417" s="101">
        <f>IF(Values_Entered,A416+1,"")</f>
        <v>400</v>
      </c>
      <c r="B417" s="102">
        <f t="shared" si="48"/>
        <v>56705</v>
      </c>
      <c r="C417" s="103">
        <f t="shared" si="54"/>
        <v>0</v>
      </c>
      <c r="D417" s="103">
        <f t="shared" si="49"/>
        <v>1244.5294817906613</v>
      </c>
      <c r="E417" s="104">
        <f t="shared" si="50"/>
        <v>0</v>
      </c>
      <c r="F417" s="103">
        <f t="shared" si="51"/>
        <v>0</v>
      </c>
      <c r="G417" s="103">
        <f t="shared" si="52"/>
        <v>0</v>
      </c>
      <c r="H417" s="103">
        <f t="shared" si="55"/>
        <v>0</v>
      </c>
      <c r="I417" s="103">
        <f t="shared" si="53"/>
        <v>0</v>
      </c>
      <c r="J417" s="103">
        <f>SUM($H$18:$H417)</f>
        <v>198030.61344463765</v>
      </c>
    </row>
    <row r="418" spans="1:10" x14ac:dyDescent="0.2">
      <c r="A418" s="101">
        <f>IF(Values_Entered,A417+1,"")</f>
        <v>401</v>
      </c>
      <c r="B418" s="102">
        <f t="shared" si="48"/>
        <v>56735</v>
      </c>
      <c r="C418" s="103">
        <f t="shared" si="54"/>
        <v>0</v>
      </c>
      <c r="D418" s="103">
        <f t="shared" si="49"/>
        <v>1244.5294817906613</v>
      </c>
      <c r="E418" s="104">
        <f t="shared" si="50"/>
        <v>0</v>
      </c>
      <c r="F418" s="103">
        <f t="shared" si="51"/>
        <v>0</v>
      </c>
      <c r="G418" s="103">
        <f t="shared" si="52"/>
        <v>0</v>
      </c>
      <c r="H418" s="103">
        <f t="shared" si="55"/>
        <v>0</v>
      </c>
      <c r="I418" s="103">
        <f t="shared" si="53"/>
        <v>0</v>
      </c>
      <c r="J418" s="103">
        <f>SUM($H$18:$H418)</f>
        <v>198030.61344463765</v>
      </c>
    </row>
    <row r="419" spans="1:10" x14ac:dyDescent="0.2">
      <c r="A419" s="101">
        <f>IF(Values_Entered,A418+1,"")</f>
        <v>402</v>
      </c>
      <c r="B419" s="102">
        <f t="shared" si="48"/>
        <v>56766</v>
      </c>
      <c r="C419" s="103">
        <f t="shared" si="54"/>
        <v>0</v>
      </c>
      <c r="D419" s="103">
        <f t="shared" si="49"/>
        <v>1244.5294817906613</v>
      </c>
      <c r="E419" s="104">
        <f t="shared" si="50"/>
        <v>0</v>
      </c>
      <c r="F419" s="103">
        <f t="shared" si="51"/>
        <v>0</v>
      </c>
      <c r="G419" s="103">
        <f t="shared" si="52"/>
        <v>0</v>
      </c>
      <c r="H419" s="103">
        <f t="shared" si="55"/>
        <v>0</v>
      </c>
      <c r="I419" s="103">
        <f t="shared" si="53"/>
        <v>0</v>
      </c>
      <c r="J419" s="103">
        <f>SUM($H$18:$H419)</f>
        <v>198030.61344463765</v>
      </c>
    </row>
    <row r="420" spans="1:10" x14ac:dyDescent="0.2">
      <c r="A420" s="101">
        <f>IF(Values_Entered,A419+1,"")</f>
        <v>403</v>
      </c>
      <c r="B420" s="102">
        <f t="shared" si="48"/>
        <v>56796</v>
      </c>
      <c r="C420" s="103">
        <f t="shared" si="54"/>
        <v>0</v>
      </c>
      <c r="D420" s="103">
        <f t="shared" si="49"/>
        <v>1244.5294817906613</v>
      </c>
      <c r="E420" s="104">
        <f t="shared" si="50"/>
        <v>0</v>
      </c>
      <c r="F420" s="103">
        <f t="shared" si="51"/>
        <v>0</v>
      </c>
      <c r="G420" s="103">
        <f t="shared" si="52"/>
        <v>0</v>
      </c>
      <c r="H420" s="103">
        <f t="shared" si="55"/>
        <v>0</v>
      </c>
      <c r="I420" s="103">
        <f t="shared" si="53"/>
        <v>0</v>
      </c>
      <c r="J420" s="103">
        <f>SUM($H$18:$H420)</f>
        <v>198030.61344463765</v>
      </c>
    </row>
    <row r="421" spans="1:10" x14ac:dyDescent="0.2">
      <c r="A421" s="101">
        <f>IF(Values_Entered,A420+1,"")</f>
        <v>404</v>
      </c>
      <c r="B421" s="102">
        <f t="shared" si="48"/>
        <v>56827</v>
      </c>
      <c r="C421" s="103">
        <f t="shared" si="54"/>
        <v>0</v>
      </c>
      <c r="D421" s="103">
        <f t="shared" si="49"/>
        <v>1244.5294817906613</v>
      </c>
      <c r="E421" s="104">
        <f t="shared" si="50"/>
        <v>0</v>
      </c>
      <c r="F421" s="103">
        <f t="shared" si="51"/>
        <v>0</v>
      </c>
      <c r="G421" s="103">
        <f t="shared" si="52"/>
        <v>0</v>
      </c>
      <c r="H421" s="103">
        <f t="shared" si="55"/>
        <v>0</v>
      </c>
      <c r="I421" s="103">
        <f t="shared" si="53"/>
        <v>0</v>
      </c>
      <c r="J421" s="103">
        <f>SUM($H$18:$H421)</f>
        <v>198030.61344463765</v>
      </c>
    </row>
    <row r="422" spans="1:10" x14ac:dyDescent="0.2">
      <c r="A422" s="101">
        <f>IF(Values_Entered,A421+1,"")</f>
        <v>405</v>
      </c>
      <c r="B422" s="102">
        <f t="shared" si="48"/>
        <v>56858</v>
      </c>
      <c r="C422" s="103">
        <f t="shared" si="54"/>
        <v>0</v>
      </c>
      <c r="D422" s="103">
        <f t="shared" si="49"/>
        <v>1244.5294817906613</v>
      </c>
      <c r="E422" s="104">
        <f t="shared" si="50"/>
        <v>0</v>
      </c>
      <c r="F422" s="103">
        <f t="shared" si="51"/>
        <v>0</v>
      </c>
      <c r="G422" s="103">
        <f t="shared" si="52"/>
        <v>0</v>
      </c>
      <c r="H422" s="103">
        <f t="shared" si="55"/>
        <v>0</v>
      </c>
      <c r="I422" s="103">
        <f t="shared" si="53"/>
        <v>0</v>
      </c>
      <c r="J422" s="103">
        <f>SUM($H$18:$H422)</f>
        <v>198030.61344463765</v>
      </c>
    </row>
    <row r="423" spans="1:10" x14ac:dyDescent="0.2">
      <c r="A423" s="101">
        <f>IF(Values_Entered,A422+1,"")</f>
        <v>406</v>
      </c>
      <c r="B423" s="102">
        <f t="shared" si="48"/>
        <v>56888</v>
      </c>
      <c r="C423" s="103">
        <f t="shared" si="54"/>
        <v>0</v>
      </c>
      <c r="D423" s="103">
        <f t="shared" si="49"/>
        <v>1244.5294817906613</v>
      </c>
      <c r="E423" s="104">
        <f t="shared" si="50"/>
        <v>0</v>
      </c>
      <c r="F423" s="103">
        <f t="shared" si="51"/>
        <v>0</v>
      </c>
      <c r="G423" s="103">
        <f t="shared" si="52"/>
        <v>0</v>
      </c>
      <c r="H423" s="103">
        <f t="shared" si="55"/>
        <v>0</v>
      </c>
      <c r="I423" s="103">
        <f t="shared" si="53"/>
        <v>0</v>
      </c>
      <c r="J423" s="103">
        <f>SUM($H$18:$H423)</f>
        <v>198030.61344463765</v>
      </c>
    </row>
    <row r="424" spans="1:10" x14ac:dyDescent="0.2">
      <c r="A424" s="101">
        <f>IF(Values_Entered,A423+1,"")</f>
        <v>407</v>
      </c>
      <c r="B424" s="102">
        <f t="shared" si="48"/>
        <v>56919</v>
      </c>
      <c r="C424" s="103">
        <f t="shared" si="54"/>
        <v>0</v>
      </c>
      <c r="D424" s="103">
        <f t="shared" si="49"/>
        <v>1244.5294817906613</v>
      </c>
      <c r="E424" s="104">
        <f t="shared" si="50"/>
        <v>0</v>
      </c>
      <c r="F424" s="103">
        <f t="shared" si="51"/>
        <v>0</v>
      </c>
      <c r="G424" s="103">
        <f t="shared" si="52"/>
        <v>0</v>
      </c>
      <c r="H424" s="103">
        <f t="shared" si="55"/>
        <v>0</v>
      </c>
      <c r="I424" s="103">
        <f t="shared" si="53"/>
        <v>0</v>
      </c>
      <c r="J424" s="103">
        <f>SUM($H$18:$H424)</f>
        <v>198030.61344463765</v>
      </c>
    </row>
    <row r="425" spans="1:10" x14ac:dyDescent="0.2">
      <c r="A425" s="101">
        <f>IF(Values_Entered,A424+1,"")</f>
        <v>408</v>
      </c>
      <c r="B425" s="102">
        <f t="shared" si="48"/>
        <v>56949</v>
      </c>
      <c r="C425" s="103">
        <f t="shared" si="54"/>
        <v>0</v>
      </c>
      <c r="D425" s="103">
        <f t="shared" si="49"/>
        <v>1244.5294817906613</v>
      </c>
      <c r="E425" s="104">
        <f t="shared" si="50"/>
        <v>0</v>
      </c>
      <c r="F425" s="103">
        <f t="shared" si="51"/>
        <v>0</v>
      </c>
      <c r="G425" s="103">
        <f t="shared" si="52"/>
        <v>0</v>
      </c>
      <c r="H425" s="103">
        <f t="shared" si="55"/>
        <v>0</v>
      </c>
      <c r="I425" s="103">
        <f t="shared" si="53"/>
        <v>0</v>
      </c>
      <c r="J425" s="103">
        <f>SUM($H$18:$H425)</f>
        <v>198030.61344463765</v>
      </c>
    </row>
    <row r="426" spans="1:10" x14ac:dyDescent="0.2">
      <c r="A426" s="101">
        <f>IF(Values_Entered,A425+1,"")</f>
        <v>409</v>
      </c>
      <c r="B426" s="102">
        <f t="shared" si="48"/>
        <v>56980</v>
      </c>
      <c r="C426" s="103">
        <f t="shared" si="54"/>
        <v>0</v>
      </c>
      <c r="D426" s="103">
        <f t="shared" si="49"/>
        <v>1244.5294817906613</v>
      </c>
      <c r="E426" s="104">
        <f t="shared" si="50"/>
        <v>0</v>
      </c>
      <c r="F426" s="103">
        <f t="shared" si="51"/>
        <v>0</v>
      </c>
      <c r="G426" s="103">
        <f t="shared" si="52"/>
        <v>0</v>
      </c>
      <c r="H426" s="103">
        <f t="shared" si="55"/>
        <v>0</v>
      </c>
      <c r="I426" s="103">
        <f t="shared" si="53"/>
        <v>0</v>
      </c>
      <c r="J426" s="103">
        <f>SUM($H$18:$H426)</f>
        <v>198030.61344463765</v>
      </c>
    </row>
    <row r="427" spans="1:10" x14ac:dyDescent="0.2">
      <c r="A427" s="101">
        <f>IF(Values_Entered,A426+1,"")</f>
        <v>410</v>
      </c>
      <c r="B427" s="102">
        <f t="shared" si="48"/>
        <v>57011</v>
      </c>
      <c r="C427" s="103">
        <f t="shared" si="54"/>
        <v>0</v>
      </c>
      <c r="D427" s="103">
        <f t="shared" si="49"/>
        <v>1244.5294817906613</v>
      </c>
      <c r="E427" s="104">
        <f t="shared" si="50"/>
        <v>0</v>
      </c>
      <c r="F427" s="103">
        <f t="shared" si="51"/>
        <v>0</v>
      </c>
      <c r="G427" s="103">
        <f t="shared" si="52"/>
        <v>0</v>
      </c>
      <c r="H427" s="103">
        <f t="shared" si="55"/>
        <v>0</v>
      </c>
      <c r="I427" s="103">
        <f t="shared" si="53"/>
        <v>0</v>
      </c>
      <c r="J427" s="103">
        <f>SUM($H$18:$H427)</f>
        <v>198030.61344463765</v>
      </c>
    </row>
    <row r="428" spans="1:10" x14ac:dyDescent="0.2">
      <c r="A428" s="101">
        <f>IF(Values_Entered,A427+1,"")</f>
        <v>411</v>
      </c>
      <c r="B428" s="102">
        <f t="shared" si="48"/>
        <v>57040</v>
      </c>
      <c r="C428" s="103">
        <f t="shared" si="54"/>
        <v>0</v>
      </c>
      <c r="D428" s="103">
        <f t="shared" si="49"/>
        <v>1244.5294817906613</v>
      </c>
      <c r="E428" s="104">
        <f t="shared" si="50"/>
        <v>0</v>
      </c>
      <c r="F428" s="103">
        <f t="shared" si="51"/>
        <v>0</v>
      </c>
      <c r="G428" s="103">
        <f t="shared" si="52"/>
        <v>0</v>
      </c>
      <c r="H428" s="103">
        <f t="shared" si="55"/>
        <v>0</v>
      </c>
      <c r="I428" s="103">
        <f t="shared" si="53"/>
        <v>0</v>
      </c>
      <c r="J428" s="103">
        <f>SUM($H$18:$H428)</f>
        <v>198030.61344463765</v>
      </c>
    </row>
    <row r="429" spans="1:10" x14ac:dyDescent="0.2">
      <c r="A429" s="101">
        <f>IF(Values_Entered,A428+1,"")</f>
        <v>412</v>
      </c>
      <c r="B429" s="102">
        <f t="shared" si="48"/>
        <v>57071</v>
      </c>
      <c r="C429" s="103">
        <f t="shared" si="54"/>
        <v>0</v>
      </c>
      <c r="D429" s="103">
        <f t="shared" si="49"/>
        <v>1244.5294817906613</v>
      </c>
      <c r="E429" s="104">
        <f t="shared" si="50"/>
        <v>0</v>
      </c>
      <c r="F429" s="103">
        <f t="shared" si="51"/>
        <v>0</v>
      </c>
      <c r="G429" s="103">
        <f t="shared" si="52"/>
        <v>0</v>
      </c>
      <c r="H429" s="103">
        <f t="shared" si="55"/>
        <v>0</v>
      </c>
      <c r="I429" s="103">
        <f t="shared" si="53"/>
        <v>0</v>
      </c>
      <c r="J429" s="103">
        <f>SUM($H$18:$H429)</f>
        <v>198030.61344463765</v>
      </c>
    </row>
    <row r="430" spans="1:10" x14ac:dyDescent="0.2">
      <c r="A430" s="101">
        <f>IF(Values_Entered,A429+1,"")</f>
        <v>413</v>
      </c>
      <c r="B430" s="102">
        <f t="shared" si="48"/>
        <v>57101</v>
      </c>
      <c r="C430" s="103">
        <f t="shared" si="54"/>
        <v>0</v>
      </c>
      <c r="D430" s="103">
        <f t="shared" si="49"/>
        <v>1244.5294817906613</v>
      </c>
      <c r="E430" s="104">
        <f t="shared" si="50"/>
        <v>0</v>
      </c>
      <c r="F430" s="103">
        <f t="shared" si="51"/>
        <v>0</v>
      </c>
      <c r="G430" s="103">
        <f t="shared" si="52"/>
        <v>0</v>
      </c>
      <c r="H430" s="103">
        <f t="shared" si="55"/>
        <v>0</v>
      </c>
      <c r="I430" s="103">
        <f t="shared" si="53"/>
        <v>0</v>
      </c>
      <c r="J430" s="103">
        <f>SUM($H$18:$H430)</f>
        <v>198030.61344463765</v>
      </c>
    </row>
    <row r="431" spans="1:10" x14ac:dyDescent="0.2">
      <c r="A431" s="101">
        <f>IF(Values_Entered,A430+1,"")</f>
        <v>414</v>
      </c>
      <c r="B431" s="102">
        <f t="shared" si="48"/>
        <v>57132</v>
      </c>
      <c r="C431" s="103">
        <f t="shared" si="54"/>
        <v>0</v>
      </c>
      <c r="D431" s="103">
        <f t="shared" si="49"/>
        <v>1244.5294817906613</v>
      </c>
      <c r="E431" s="104">
        <f t="shared" si="50"/>
        <v>0</v>
      </c>
      <c r="F431" s="103">
        <f t="shared" si="51"/>
        <v>0</v>
      </c>
      <c r="G431" s="103">
        <f t="shared" si="52"/>
        <v>0</v>
      </c>
      <c r="H431" s="103">
        <f t="shared" si="55"/>
        <v>0</v>
      </c>
      <c r="I431" s="103">
        <f t="shared" si="53"/>
        <v>0</v>
      </c>
      <c r="J431" s="103">
        <f>SUM($H$18:$H431)</f>
        <v>198030.61344463765</v>
      </c>
    </row>
    <row r="432" spans="1:10" x14ac:dyDescent="0.2">
      <c r="A432" s="101">
        <f>IF(Values_Entered,A431+1,"")</f>
        <v>415</v>
      </c>
      <c r="B432" s="102">
        <f t="shared" si="48"/>
        <v>57162</v>
      </c>
      <c r="C432" s="103">
        <f t="shared" si="54"/>
        <v>0</v>
      </c>
      <c r="D432" s="103">
        <f t="shared" si="49"/>
        <v>1244.5294817906613</v>
      </c>
      <c r="E432" s="104">
        <f t="shared" si="50"/>
        <v>0</v>
      </c>
      <c r="F432" s="103">
        <f t="shared" si="51"/>
        <v>0</v>
      </c>
      <c r="G432" s="103">
        <f t="shared" si="52"/>
        <v>0</v>
      </c>
      <c r="H432" s="103">
        <f t="shared" si="55"/>
        <v>0</v>
      </c>
      <c r="I432" s="103">
        <f t="shared" si="53"/>
        <v>0</v>
      </c>
      <c r="J432" s="103">
        <f>SUM($H$18:$H432)</f>
        <v>198030.61344463765</v>
      </c>
    </row>
    <row r="433" spans="1:10" x14ac:dyDescent="0.2">
      <c r="A433" s="101">
        <f>IF(Values_Entered,A432+1,"")</f>
        <v>416</v>
      </c>
      <c r="B433" s="102">
        <f t="shared" si="48"/>
        <v>57193</v>
      </c>
      <c r="C433" s="103">
        <f t="shared" si="54"/>
        <v>0</v>
      </c>
      <c r="D433" s="103">
        <f t="shared" si="49"/>
        <v>1244.5294817906613</v>
      </c>
      <c r="E433" s="104">
        <f t="shared" si="50"/>
        <v>0</v>
      </c>
      <c r="F433" s="103">
        <f t="shared" si="51"/>
        <v>0</v>
      </c>
      <c r="G433" s="103">
        <f t="shared" si="52"/>
        <v>0</v>
      </c>
      <c r="H433" s="103">
        <f t="shared" si="55"/>
        <v>0</v>
      </c>
      <c r="I433" s="103">
        <f t="shared" si="53"/>
        <v>0</v>
      </c>
      <c r="J433" s="103">
        <f>SUM($H$18:$H433)</f>
        <v>198030.61344463765</v>
      </c>
    </row>
    <row r="434" spans="1:10" x14ac:dyDescent="0.2">
      <c r="A434" s="101">
        <f>IF(Values_Entered,A433+1,"")</f>
        <v>417</v>
      </c>
      <c r="B434" s="102">
        <f t="shared" si="48"/>
        <v>57224</v>
      </c>
      <c r="C434" s="103">
        <f t="shared" si="54"/>
        <v>0</v>
      </c>
      <c r="D434" s="103">
        <f t="shared" si="49"/>
        <v>1244.5294817906613</v>
      </c>
      <c r="E434" s="104">
        <f t="shared" si="50"/>
        <v>0</v>
      </c>
      <c r="F434" s="103">
        <f t="shared" si="51"/>
        <v>0</v>
      </c>
      <c r="G434" s="103">
        <f t="shared" si="52"/>
        <v>0</v>
      </c>
      <c r="H434" s="103">
        <f t="shared" si="55"/>
        <v>0</v>
      </c>
      <c r="I434" s="103">
        <f t="shared" si="53"/>
        <v>0</v>
      </c>
      <c r="J434" s="103">
        <f>SUM($H$18:$H434)</f>
        <v>198030.61344463765</v>
      </c>
    </row>
    <row r="435" spans="1:10" x14ac:dyDescent="0.2">
      <c r="A435" s="101">
        <f>IF(Values_Entered,A434+1,"")</f>
        <v>418</v>
      </c>
      <c r="B435" s="102">
        <f t="shared" si="48"/>
        <v>57254</v>
      </c>
      <c r="C435" s="103">
        <f t="shared" si="54"/>
        <v>0</v>
      </c>
      <c r="D435" s="103">
        <f t="shared" si="49"/>
        <v>1244.5294817906613</v>
      </c>
      <c r="E435" s="104">
        <f t="shared" si="50"/>
        <v>0</v>
      </c>
      <c r="F435" s="103">
        <f t="shared" si="51"/>
        <v>0</v>
      </c>
      <c r="G435" s="103">
        <f t="shared" si="52"/>
        <v>0</v>
      </c>
      <c r="H435" s="103">
        <f t="shared" si="55"/>
        <v>0</v>
      </c>
      <c r="I435" s="103">
        <f t="shared" si="53"/>
        <v>0</v>
      </c>
      <c r="J435" s="103">
        <f>SUM($H$18:$H435)</f>
        <v>198030.61344463765</v>
      </c>
    </row>
    <row r="436" spans="1:10" x14ac:dyDescent="0.2">
      <c r="A436" s="101">
        <f>IF(Values_Entered,A435+1,"")</f>
        <v>419</v>
      </c>
      <c r="B436" s="102">
        <f t="shared" si="48"/>
        <v>57285</v>
      </c>
      <c r="C436" s="103">
        <f t="shared" si="54"/>
        <v>0</v>
      </c>
      <c r="D436" s="103">
        <f t="shared" si="49"/>
        <v>1244.5294817906613</v>
      </c>
      <c r="E436" s="104">
        <f t="shared" si="50"/>
        <v>0</v>
      </c>
      <c r="F436" s="103">
        <f t="shared" si="51"/>
        <v>0</v>
      </c>
      <c r="G436" s="103">
        <f t="shared" si="52"/>
        <v>0</v>
      </c>
      <c r="H436" s="103">
        <f t="shared" si="55"/>
        <v>0</v>
      </c>
      <c r="I436" s="103">
        <f t="shared" si="53"/>
        <v>0</v>
      </c>
      <c r="J436" s="103">
        <f>SUM($H$18:$H436)</f>
        <v>198030.61344463765</v>
      </c>
    </row>
    <row r="437" spans="1:10" x14ac:dyDescent="0.2">
      <c r="A437" s="101">
        <f>IF(Values_Entered,A436+1,"")</f>
        <v>420</v>
      </c>
      <c r="B437" s="102">
        <f t="shared" si="48"/>
        <v>57315</v>
      </c>
      <c r="C437" s="103">
        <f t="shared" si="54"/>
        <v>0</v>
      </c>
      <c r="D437" s="103">
        <f t="shared" si="49"/>
        <v>1244.5294817906613</v>
      </c>
      <c r="E437" s="104">
        <f t="shared" si="50"/>
        <v>0</v>
      </c>
      <c r="F437" s="103">
        <f t="shared" si="51"/>
        <v>0</v>
      </c>
      <c r="G437" s="103">
        <f t="shared" si="52"/>
        <v>0</v>
      </c>
      <c r="H437" s="103">
        <f t="shared" si="55"/>
        <v>0</v>
      </c>
      <c r="I437" s="103">
        <f t="shared" si="53"/>
        <v>0</v>
      </c>
      <c r="J437" s="103">
        <f>SUM($H$18:$H437)</f>
        <v>198030.61344463765</v>
      </c>
    </row>
    <row r="438" spans="1:10" x14ac:dyDescent="0.2">
      <c r="A438" s="101">
        <f>IF(Values_Entered,A437+1,"")</f>
        <v>421</v>
      </c>
      <c r="B438" s="102">
        <f t="shared" si="48"/>
        <v>57346</v>
      </c>
      <c r="C438" s="103">
        <f t="shared" si="54"/>
        <v>0</v>
      </c>
      <c r="D438" s="103">
        <f t="shared" si="49"/>
        <v>1244.5294817906613</v>
      </c>
      <c r="E438" s="104">
        <f t="shared" si="50"/>
        <v>0</v>
      </c>
      <c r="F438" s="103">
        <f t="shared" si="51"/>
        <v>0</v>
      </c>
      <c r="G438" s="103">
        <f t="shared" si="52"/>
        <v>0</v>
      </c>
      <c r="H438" s="103">
        <f t="shared" si="55"/>
        <v>0</v>
      </c>
      <c r="I438" s="103">
        <f t="shared" si="53"/>
        <v>0</v>
      </c>
      <c r="J438" s="103">
        <f>SUM($H$18:$H438)</f>
        <v>198030.61344463765</v>
      </c>
    </row>
    <row r="439" spans="1:10" x14ac:dyDescent="0.2">
      <c r="A439" s="101">
        <f>IF(Values_Entered,A438+1,"")</f>
        <v>422</v>
      </c>
      <c r="B439" s="102">
        <f t="shared" si="48"/>
        <v>57377</v>
      </c>
      <c r="C439" s="103">
        <f t="shared" si="54"/>
        <v>0</v>
      </c>
      <c r="D439" s="103">
        <f t="shared" si="49"/>
        <v>1244.5294817906613</v>
      </c>
      <c r="E439" s="104">
        <f t="shared" si="50"/>
        <v>0</v>
      </c>
      <c r="F439" s="103">
        <f t="shared" si="51"/>
        <v>0</v>
      </c>
      <c r="G439" s="103">
        <f t="shared" si="52"/>
        <v>0</v>
      </c>
      <c r="H439" s="103">
        <f t="shared" si="55"/>
        <v>0</v>
      </c>
      <c r="I439" s="103">
        <f t="shared" si="53"/>
        <v>0</v>
      </c>
      <c r="J439" s="103">
        <f>SUM($H$18:$H439)</f>
        <v>198030.61344463765</v>
      </c>
    </row>
    <row r="440" spans="1:10" x14ac:dyDescent="0.2">
      <c r="A440" s="101">
        <f>IF(Values_Entered,A439+1,"")</f>
        <v>423</v>
      </c>
      <c r="B440" s="102">
        <f t="shared" si="48"/>
        <v>57405</v>
      </c>
      <c r="C440" s="103">
        <f t="shared" si="54"/>
        <v>0</v>
      </c>
      <c r="D440" s="103">
        <f t="shared" si="49"/>
        <v>1244.5294817906613</v>
      </c>
      <c r="E440" s="104">
        <f t="shared" si="50"/>
        <v>0</v>
      </c>
      <c r="F440" s="103">
        <f t="shared" si="51"/>
        <v>0</v>
      </c>
      <c r="G440" s="103">
        <f t="shared" si="52"/>
        <v>0</v>
      </c>
      <c r="H440" s="103">
        <f t="shared" si="55"/>
        <v>0</v>
      </c>
      <c r="I440" s="103">
        <f t="shared" si="53"/>
        <v>0</v>
      </c>
      <c r="J440" s="103">
        <f>SUM($H$18:$H440)</f>
        <v>198030.61344463765</v>
      </c>
    </row>
    <row r="441" spans="1:10" x14ac:dyDescent="0.2">
      <c r="A441" s="101">
        <f>IF(Values_Entered,A440+1,"")</f>
        <v>424</v>
      </c>
      <c r="B441" s="102">
        <f t="shared" si="48"/>
        <v>57436</v>
      </c>
      <c r="C441" s="103">
        <f t="shared" si="54"/>
        <v>0</v>
      </c>
      <c r="D441" s="103">
        <f t="shared" si="49"/>
        <v>1244.5294817906613</v>
      </c>
      <c r="E441" s="104">
        <f t="shared" si="50"/>
        <v>0</v>
      </c>
      <c r="F441" s="103">
        <f t="shared" si="51"/>
        <v>0</v>
      </c>
      <c r="G441" s="103">
        <f t="shared" si="52"/>
        <v>0</v>
      </c>
      <c r="H441" s="103">
        <f t="shared" si="55"/>
        <v>0</v>
      </c>
      <c r="I441" s="103">
        <f t="shared" si="53"/>
        <v>0</v>
      </c>
      <c r="J441" s="103">
        <f>SUM($H$18:$H441)</f>
        <v>198030.61344463765</v>
      </c>
    </row>
    <row r="442" spans="1:10" x14ac:dyDescent="0.2">
      <c r="A442" s="101">
        <f>IF(Values_Entered,A441+1,"")</f>
        <v>425</v>
      </c>
      <c r="B442" s="102">
        <f t="shared" si="48"/>
        <v>57466</v>
      </c>
      <c r="C442" s="103">
        <f t="shared" si="54"/>
        <v>0</v>
      </c>
      <c r="D442" s="103">
        <f t="shared" si="49"/>
        <v>1244.5294817906613</v>
      </c>
      <c r="E442" s="104">
        <f t="shared" si="50"/>
        <v>0</v>
      </c>
      <c r="F442" s="103">
        <f t="shared" si="51"/>
        <v>0</v>
      </c>
      <c r="G442" s="103">
        <f t="shared" si="52"/>
        <v>0</v>
      </c>
      <c r="H442" s="103">
        <f t="shared" si="55"/>
        <v>0</v>
      </c>
      <c r="I442" s="103">
        <f t="shared" si="53"/>
        <v>0</v>
      </c>
      <c r="J442" s="103">
        <f>SUM($H$18:$H442)</f>
        <v>198030.61344463765</v>
      </c>
    </row>
    <row r="443" spans="1:10" x14ac:dyDescent="0.2">
      <c r="A443" s="101">
        <f>IF(Values_Entered,A442+1,"")</f>
        <v>426</v>
      </c>
      <c r="B443" s="102">
        <f t="shared" si="48"/>
        <v>57497</v>
      </c>
      <c r="C443" s="103">
        <f t="shared" si="54"/>
        <v>0</v>
      </c>
      <c r="D443" s="103">
        <f t="shared" si="49"/>
        <v>1244.5294817906613</v>
      </c>
      <c r="E443" s="104">
        <f t="shared" si="50"/>
        <v>0</v>
      </c>
      <c r="F443" s="103">
        <f t="shared" si="51"/>
        <v>0</v>
      </c>
      <c r="G443" s="103">
        <f t="shared" si="52"/>
        <v>0</v>
      </c>
      <c r="H443" s="103">
        <f t="shared" si="55"/>
        <v>0</v>
      </c>
      <c r="I443" s="103">
        <f t="shared" si="53"/>
        <v>0</v>
      </c>
      <c r="J443" s="103">
        <f>SUM($H$18:$H443)</f>
        <v>198030.61344463765</v>
      </c>
    </row>
    <row r="444" spans="1:10" x14ac:dyDescent="0.2">
      <c r="A444" s="101">
        <f>IF(Values_Entered,A443+1,"")</f>
        <v>427</v>
      </c>
      <c r="B444" s="102">
        <f t="shared" si="48"/>
        <v>57527</v>
      </c>
      <c r="C444" s="103">
        <f t="shared" si="54"/>
        <v>0</v>
      </c>
      <c r="D444" s="103">
        <f t="shared" si="49"/>
        <v>1244.5294817906613</v>
      </c>
      <c r="E444" s="104">
        <f t="shared" si="50"/>
        <v>0</v>
      </c>
      <c r="F444" s="103">
        <f t="shared" si="51"/>
        <v>0</v>
      </c>
      <c r="G444" s="103">
        <f t="shared" si="52"/>
        <v>0</v>
      </c>
      <c r="H444" s="103">
        <f t="shared" si="55"/>
        <v>0</v>
      </c>
      <c r="I444" s="103">
        <f t="shared" si="53"/>
        <v>0</v>
      </c>
      <c r="J444" s="103">
        <f>SUM($H$18:$H444)</f>
        <v>198030.61344463765</v>
      </c>
    </row>
    <row r="445" spans="1:10" x14ac:dyDescent="0.2">
      <c r="A445" s="101">
        <f>IF(Values_Entered,A444+1,"")</f>
        <v>428</v>
      </c>
      <c r="B445" s="102">
        <f t="shared" si="48"/>
        <v>57558</v>
      </c>
      <c r="C445" s="103">
        <f t="shared" si="54"/>
        <v>0</v>
      </c>
      <c r="D445" s="103">
        <f t="shared" si="49"/>
        <v>1244.5294817906613</v>
      </c>
      <c r="E445" s="104">
        <f t="shared" si="50"/>
        <v>0</v>
      </c>
      <c r="F445" s="103">
        <f t="shared" si="51"/>
        <v>0</v>
      </c>
      <c r="G445" s="103">
        <f t="shared" si="52"/>
        <v>0</v>
      </c>
      <c r="H445" s="103">
        <f t="shared" si="55"/>
        <v>0</v>
      </c>
      <c r="I445" s="103">
        <f t="shared" si="53"/>
        <v>0</v>
      </c>
      <c r="J445" s="103">
        <f>SUM($H$18:$H445)</f>
        <v>198030.61344463765</v>
      </c>
    </row>
    <row r="446" spans="1:10" x14ac:dyDescent="0.2">
      <c r="A446" s="101">
        <f>IF(Values_Entered,A445+1,"")</f>
        <v>429</v>
      </c>
      <c r="B446" s="102">
        <f t="shared" si="48"/>
        <v>57589</v>
      </c>
      <c r="C446" s="103">
        <f t="shared" si="54"/>
        <v>0</v>
      </c>
      <c r="D446" s="103">
        <f t="shared" si="49"/>
        <v>1244.5294817906613</v>
      </c>
      <c r="E446" s="104">
        <f t="shared" si="50"/>
        <v>0</v>
      </c>
      <c r="F446" s="103">
        <f t="shared" si="51"/>
        <v>0</v>
      </c>
      <c r="G446" s="103">
        <f t="shared" si="52"/>
        <v>0</v>
      </c>
      <c r="H446" s="103">
        <f t="shared" si="55"/>
        <v>0</v>
      </c>
      <c r="I446" s="103">
        <f t="shared" si="53"/>
        <v>0</v>
      </c>
      <c r="J446" s="103">
        <f>SUM($H$18:$H446)</f>
        <v>198030.61344463765</v>
      </c>
    </row>
    <row r="447" spans="1:10" x14ac:dyDescent="0.2">
      <c r="A447" s="101">
        <f>IF(Values_Entered,A446+1,"")</f>
        <v>430</v>
      </c>
      <c r="B447" s="102">
        <f t="shared" si="48"/>
        <v>57619</v>
      </c>
      <c r="C447" s="103">
        <f t="shared" si="54"/>
        <v>0</v>
      </c>
      <c r="D447" s="103">
        <f t="shared" si="49"/>
        <v>1244.5294817906613</v>
      </c>
      <c r="E447" s="104">
        <f t="shared" si="50"/>
        <v>0</v>
      </c>
      <c r="F447" s="103">
        <f t="shared" si="51"/>
        <v>0</v>
      </c>
      <c r="G447" s="103">
        <f t="shared" si="52"/>
        <v>0</v>
      </c>
      <c r="H447" s="103">
        <f t="shared" si="55"/>
        <v>0</v>
      </c>
      <c r="I447" s="103">
        <f t="shared" si="53"/>
        <v>0</v>
      </c>
      <c r="J447" s="103">
        <f>SUM($H$18:$H447)</f>
        <v>198030.61344463765</v>
      </c>
    </row>
    <row r="448" spans="1:10" x14ac:dyDescent="0.2">
      <c r="A448" s="101">
        <f>IF(Values_Entered,A447+1,"")</f>
        <v>431</v>
      </c>
      <c r="B448" s="102">
        <f t="shared" si="48"/>
        <v>57650</v>
      </c>
      <c r="C448" s="103">
        <f t="shared" si="54"/>
        <v>0</v>
      </c>
      <c r="D448" s="103">
        <f t="shared" si="49"/>
        <v>1244.5294817906613</v>
      </c>
      <c r="E448" s="104">
        <f t="shared" si="50"/>
        <v>0</v>
      </c>
      <c r="F448" s="103">
        <f t="shared" si="51"/>
        <v>0</v>
      </c>
      <c r="G448" s="103">
        <f t="shared" si="52"/>
        <v>0</v>
      </c>
      <c r="H448" s="103">
        <f t="shared" si="55"/>
        <v>0</v>
      </c>
      <c r="I448" s="103">
        <f t="shared" si="53"/>
        <v>0</v>
      </c>
      <c r="J448" s="103">
        <f>SUM($H$18:$H448)</f>
        <v>198030.61344463765</v>
      </c>
    </row>
    <row r="449" spans="1:10" x14ac:dyDescent="0.2">
      <c r="A449" s="101">
        <f>IF(Values_Entered,A448+1,"")</f>
        <v>432</v>
      </c>
      <c r="B449" s="102">
        <f t="shared" si="48"/>
        <v>57680</v>
      </c>
      <c r="C449" s="103">
        <f t="shared" si="54"/>
        <v>0</v>
      </c>
      <c r="D449" s="103">
        <f t="shared" si="49"/>
        <v>1244.5294817906613</v>
      </c>
      <c r="E449" s="104">
        <f t="shared" si="50"/>
        <v>0</v>
      </c>
      <c r="F449" s="103">
        <f t="shared" si="51"/>
        <v>0</v>
      </c>
      <c r="G449" s="103">
        <f t="shared" si="52"/>
        <v>0</v>
      </c>
      <c r="H449" s="103">
        <f t="shared" si="55"/>
        <v>0</v>
      </c>
      <c r="I449" s="103">
        <f t="shared" si="53"/>
        <v>0</v>
      </c>
      <c r="J449" s="103">
        <f>SUM($H$18:$H449)</f>
        <v>198030.61344463765</v>
      </c>
    </row>
    <row r="450" spans="1:10" x14ac:dyDescent="0.2">
      <c r="A450" s="101">
        <f>IF(Values_Entered,A449+1,"")</f>
        <v>433</v>
      </c>
      <c r="B450" s="102">
        <f t="shared" si="48"/>
        <v>57711</v>
      </c>
      <c r="C450" s="103">
        <f t="shared" si="54"/>
        <v>0</v>
      </c>
      <c r="D450" s="103">
        <f t="shared" si="49"/>
        <v>1244.5294817906613</v>
      </c>
      <c r="E450" s="104">
        <f t="shared" si="50"/>
        <v>0</v>
      </c>
      <c r="F450" s="103">
        <f t="shared" si="51"/>
        <v>0</v>
      </c>
      <c r="G450" s="103">
        <f t="shared" si="52"/>
        <v>0</v>
      </c>
      <c r="H450" s="103">
        <f t="shared" si="55"/>
        <v>0</v>
      </c>
      <c r="I450" s="103">
        <f t="shared" si="53"/>
        <v>0</v>
      </c>
      <c r="J450" s="103">
        <f>SUM($H$18:$H450)</f>
        <v>198030.61344463765</v>
      </c>
    </row>
    <row r="451" spans="1:10" x14ac:dyDescent="0.2">
      <c r="A451" s="101">
        <f>IF(Values_Entered,A450+1,"")</f>
        <v>434</v>
      </c>
      <c r="B451" s="102">
        <f t="shared" si="48"/>
        <v>57742</v>
      </c>
      <c r="C451" s="103">
        <f t="shared" si="54"/>
        <v>0</v>
      </c>
      <c r="D451" s="103">
        <f t="shared" si="49"/>
        <v>1244.5294817906613</v>
      </c>
      <c r="E451" s="104">
        <f t="shared" si="50"/>
        <v>0</v>
      </c>
      <c r="F451" s="103">
        <f t="shared" si="51"/>
        <v>0</v>
      </c>
      <c r="G451" s="103">
        <f t="shared" si="52"/>
        <v>0</v>
      </c>
      <c r="H451" s="103">
        <f t="shared" si="55"/>
        <v>0</v>
      </c>
      <c r="I451" s="103">
        <f t="shared" si="53"/>
        <v>0</v>
      </c>
      <c r="J451" s="103">
        <f>SUM($H$18:$H451)</f>
        <v>198030.61344463765</v>
      </c>
    </row>
    <row r="452" spans="1:10" x14ac:dyDescent="0.2">
      <c r="A452" s="101">
        <f>IF(Values_Entered,A451+1,"")</f>
        <v>435</v>
      </c>
      <c r="B452" s="102">
        <f t="shared" si="48"/>
        <v>57770</v>
      </c>
      <c r="C452" s="103">
        <f t="shared" si="54"/>
        <v>0</v>
      </c>
      <c r="D452" s="103">
        <f t="shared" si="49"/>
        <v>1244.5294817906613</v>
      </c>
      <c r="E452" s="104">
        <f t="shared" si="50"/>
        <v>0</v>
      </c>
      <c r="F452" s="103">
        <f t="shared" si="51"/>
        <v>0</v>
      </c>
      <c r="G452" s="103">
        <f t="shared" si="52"/>
        <v>0</v>
      </c>
      <c r="H452" s="103">
        <f t="shared" si="55"/>
        <v>0</v>
      </c>
      <c r="I452" s="103">
        <f t="shared" si="53"/>
        <v>0</v>
      </c>
      <c r="J452" s="103">
        <f>SUM($H$18:$H452)</f>
        <v>198030.61344463765</v>
      </c>
    </row>
    <row r="453" spans="1:10" x14ac:dyDescent="0.2">
      <c r="A453" s="101">
        <f>IF(Values_Entered,A452+1,"")</f>
        <v>436</v>
      </c>
      <c r="B453" s="102">
        <f t="shared" si="48"/>
        <v>57801</v>
      </c>
      <c r="C453" s="103">
        <f t="shared" si="54"/>
        <v>0</v>
      </c>
      <c r="D453" s="103">
        <f t="shared" si="49"/>
        <v>1244.5294817906613</v>
      </c>
      <c r="E453" s="104">
        <f t="shared" si="50"/>
        <v>0</v>
      </c>
      <c r="F453" s="103">
        <f t="shared" si="51"/>
        <v>0</v>
      </c>
      <c r="G453" s="103">
        <f t="shared" si="52"/>
        <v>0</v>
      </c>
      <c r="H453" s="103">
        <f t="shared" si="55"/>
        <v>0</v>
      </c>
      <c r="I453" s="103">
        <f t="shared" si="53"/>
        <v>0</v>
      </c>
      <c r="J453" s="103">
        <f>SUM($H$18:$H453)</f>
        <v>198030.61344463765</v>
      </c>
    </row>
    <row r="454" spans="1:10" x14ac:dyDescent="0.2">
      <c r="A454" s="101">
        <f>IF(Values_Entered,A453+1,"")</f>
        <v>437</v>
      </c>
      <c r="B454" s="102">
        <f t="shared" si="48"/>
        <v>57831</v>
      </c>
      <c r="C454" s="103">
        <f t="shared" si="54"/>
        <v>0</v>
      </c>
      <c r="D454" s="103">
        <f t="shared" si="49"/>
        <v>1244.5294817906613</v>
      </c>
      <c r="E454" s="104">
        <f t="shared" si="50"/>
        <v>0</v>
      </c>
      <c r="F454" s="103">
        <f t="shared" si="51"/>
        <v>0</v>
      </c>
      <c r="G454" s="103">
        <f t="shared" si="52"/>
        <v>0</v>
      </c>
      <c r="H454" s="103">
        <f t="shared" si="55"/>
        <v>0</v>
      </c>
      <c r="I454" s="103">
        <f t="shared" si="53"/>
        <v>0</v>
      </c>
      <c r="J454" s="103">
        <f>SUM($H$18:$H454)</f>
        <v>198030.61344463765</v>
      </c>
    </row>
    <row r="455" spans="1:10" x14ac:dyDescent="0.2">
      <c r="A455" s="101">
        <f>IF(Values_Entered,A454+1,"")</f>
        <v>438</v>
      </c>
      <c r="B455" s="102">
        <f t="shared" si="48"/>
        <v>57862</v>
      </c>
      <c r="C455" s="103">
        <f t="shared" si="54"/>
        <v>0</v>
      </c>
      <c r="D455" s="103">
        <f t="shared" si="49"/>
        <v>1244.5294817906613</v>
      </c>
      <c r="E455" s="104">
        <f t="shared" si="50"/>
        <v>0</v>
      </c>
      <c r="F455" s="103">
        <f t="shared" si="51"/>
        <v>0</v>
      </c>
      <c r="G455" s="103">
        <f t="shared" si="52"/>
        <v>0</v>
      </c>
      <c r="H455" s="103">
        <f t="shared" si="55"/>
        <v>0</v>
      </c>
      <c r="I455" s="103">
        <f t="shared" si="53"/>
        <v>0</v>
      </c>
      <c r="J455" s="103">
        <f>SUM($H$18:$H455)</f>
        <v>198030.61344463765</v>
      </c>
    </row>
    <row r="456" spans="1:10" x14ac:dyDescent="0.2">
      <c r="A456" s="101">
        <f>IF(Values_Entered,A455+1,"")</f>
        <v>439</v>
      </c>
      <c r="B456" s="102">
        <f t="shared" si="48"/>
        <v>57892</v>
      </c>
      <c r="C456" s="103">
        <f t="shared" si="54"/>
        <v>0</v>
      </c>
      <c r="D456" s="103">
        <f t="shared" si="49"/>
        <v>1244.5294817906613</v>
      </c>
      <c r="E456" s="104">
        <f t="shared" si="50"/>
        <v>0</v>
      </c>
      <c r="F456" s="103">
        <f t="shared" si="51"/>
        <v>0</v>
      </c>
      <c r="G456" s="103">
        <f t="shared" si="52"/>
        <v>0</v>
      </c>
      <c r="H456" s="103">
        <f t="shared" si="55"/>
        <v>0</v>
      </c>
      <c r="I456" s="103">
        <f t="shared" si="53"/>
        <v>0</v>
      </c>
      <c r="J456" s="103">
        <f>SUM($H$18:$H456)</f>
        <v>198030.61344463765</v>
      </c>
    </row>
    <row r="457" spans="1:10" x14ac:dyDescent="0.2">
      <c r="A457" s="101">
        <f>IF(Values_Entered,A456+1,"")</f>
        <v>440</v>
      </c>
      <c r="B457" s="102">
        <f t="shared" si="48"/>
        <v>57923</v>
      </c>
      <c r="C457" s="103">
        <f t="shared" si="54"/>
        <v>0</v>
      </c>
      <c r="D457" s="103">
        <f t="shared" si="49"/>
        <v>1244.5294817906613</v>
      </c>
      <c r="E457" s="104">
        <f t="shared" si="50"/>
        <v>0</v>
      </c>
      <c r="F457" s="103">
        <f t="shared" si="51"/>
        <v>0</v>
      </c>
      <c r="G457" s="103">
        <f t="shared" si="52"/>
        <v>0</v>
      </c>
      <c r="H457" s="103">
        <f t="shared" si="55"/>
        <v>0</v>
      </c>
      <c r="I457" s="103">
        <f t="shared" si="53"/>
        <v>0</v>
      </c>
      <c r="J457" s="103">
        <f>SUM($H$18:$H457)</f>
        <v>198030.61344463765</v>
      </c>
    </row>
    <row r="458" spans="1:10" x14ac:dyDescent="0.2">
      <c r="A458" s="101">
        <f>IF(Values_Entered,A457+1,"")</f>
        <v>441</v>
      </c>
      <c r="B458" s="102">
        <f t="shared" si="48"/>
        <v>57954</v>
      </c>
      <c r="C458" s="103">
        <f t="shared" si="54"/>
        <v>0</v>
      </c>
      <c r="D458" s="103">
        <f t="shared" si="49"/>
        <v>1244.5294817906613</v>
      </c>
      <c r="E458" s="104">
        <f t="shared" si="50"/>
        <v>0</v>
      </c>
      <c r="F458" s="103">
        <f t="shared" si="51"/>
        <v>0</v>
      </c>
      <c r="G458" s="103">
        <f t="shared" si="52"/>
        <v>0</v>
      </c>
      <c r="H458" s="103">
        <f t="shared" si="55"/>
        <v>0</v>
      </c>
      <c r="I458" s="103">
        <f t="shared" si="53"/>
        <v>0</v>
      </c>
      <c r="J458" s="103">
        <f>SUM($H$18:$H458)</f>
        <v>198030.61344463765</v>
      </c>
    </row>
    <row r="459" spans="1:10" x14ac:dyDescent="0.2">
      <c r="A459" s="101">
        <f>IF(Values_Entered,A458+1,"")</f>
        <v>442</v>
      </c>
      <c r="B459" s="102">
        <f t="shared" si="48"/>
        <v>57984</v>
      </c>
      <c r="C459" s="103">
        <f t="shared" si="54"/>
        <v>0</v>
      </c>
      <c r="D459" s="103">
        <f t="shared" si="49"/>
        <v>1244.5294817906613</v>
      </c>
      <c r="E459" s="104">
        <f t="shared" si="50"/>
        <v>0</v>
      </c>
      <c r="F459" s="103">
        <f t="shared" si="51"/>
        <v>0</v>
      </c>
      <c r="G459" s="103">
        <f t="shared" si="52"/>
        <v>0</v>
      </c>
      <c r="H459" s="103">
        <f t="shared" si="55"/>
        <v>0</v>
      </c>
      <c r="I459" s="103">
        <f t="shared" si="53"/>
        <v>0</v>
      </c>
      <c r="J459" s="103">
        <f>SUM($H$18:$H459)</f>
        <v>198030.61344463765</v>
      </c>
    </row>
    <row r="460" spans="1:10" x14ac:dyDescent="0.2">
      <c r="A460" s="101">
        <f>IF(Values_Entered,A459+1,"")</f>
        <v>443</v>
      </c>
      <c r="B460" s="102">
        <f t="shared" si="48"/>
        <v>58015</v>
      </c>
      <c r="C460" s="103">
        <f t="shared" si="54"/>
        <v>0</v>
      </c>
      <c r="D460" s="103">
        <f t="shared" si="49"/>
        <v>1244.5294817906613</v>
      </c>
      <c r="E460" s="104">
        <f t="shared" si="50"/>
        <v>0</v>
      </c>
      <c r="F460" s="103">
        <f t="shared" si="51"/>
        <v>0</v>
      </c>
      <c r="G460" s="103">
        <f t="shared" si="52"/>
        <v>0</v>
      </c>
      <c r="H460" s="103">
        <f t="shared" si="55"/>
        <v>0</v>
      </c>
      <c r="I460" s="103">
        <f t="shared" si="53"/>
        <v>0</v>
      </c>
      <c r="J460" s="103">
        <f>SUM($H$18:$H460)</f>
        <v>198030.61344463765</v>
      </c>
    </row>
    <row r="461" spans="1:10" x14ac:dyDescent="0.2">
      <c r="A461" s="101">
        <f>IF(Values_Entered,A460+1,"")</f>
        <v>444</v>
      </c>
      <c r="B461" s="102">
        <f t="shared" si="48"/>
        <v>58045</v>
      </c>
      <c r="C461" s="103">
        <f t="shared" si="54"/>
        <v>0</v>
      </c>
      <c r="D461" s="103">
        <f t="shared" si="49"/>
        <v>1244.5294817906613</v>
      </c>
      <c r="E461" s="104">
        <f t="shared" si="50"/>
        <v>0</v>
      </c>
      <c r="F461" s="103">
        <f t="shared" si="51"/>
        <v>0</v>
      </c>
      <c r="G461" s="103">
        <f t="shared" si="52"/>
        <v>0</v>
      </c>
      <c r="H461" s="103">
        <f t="shared" si="55"/>
        <v>0</v>
      </c>
      <c r="I461" s="103">
        <f t="shared" si="53"/>
        <v>0</v>
      </c>
      <c r="J461" s="103">
        <f>SUM($H$18:$H461)</f>
        <v>198030.61344463765</v>
      </c>
    </row>
    <row r="462" spans="1:10" x14ac:dyDescent="0.2">
      <c r="A462" s="101">
        <f>IF(Values_Entered,A461+1,"")</f>
        <v>445</v>
      </c>
      <c r="B462" s="102">
        <f t="shared" si="48"/>
        <v>58076</v>
      </c>
      <c r="C462" s="103">
        <f t="shared" si="54"/>
        <v>0</v>
      </c>
      <c r="D462" s="103">
        <f t="shared" si="49"/>
        <v>1244.5294817906613</v>
      </c>
      <c r="E462" s="104">
        <f t="shared" si="50"/>
        <v>0</v>
      </c>
      <c r="F462" s="103">
        <f t="shared" si="51"/>
        <v>0</v>
      </c>
      <c r="G462" s="103">
        <f t="shared" si="52"/>
        <v>0</v>
      </c>
      <c r="H462" s="103">
        <f t="shared" si="55"/>
        <v>0</v>
      </c>
      <c r="I462" s="103">
        <f t="shared" si="53"/>
        <v>0</v>
      </c>
      <c r="J462" s="103">
        <f>SUM($H$18:$H462)</f>
        <v>198030.61344463765</v>
      </c>
    </row>
    <row r="463" spans="1:10" x14ac:dyDescent="0.2">
      <c r="A463" s="101">
        <f>IF(Values_Entered,A462+1,"")</f>
        <v>446</v>
      </c>
      <c r="B463" s="102">
        <f t="shared" si="48"/>
        <v>58107</v>
      </c>
      <c r="C463" s="103">
        <f t="shared" si="54"/>
        <v>0</v>
      </c>
      <c r="D463" s="103">
        <f t="shared" si="49"/>
        <v>1244.5294817906613</v>
      </c>
      <c r="E463" s="104">
        <f t="shared" si="50"/>
        <v>0</v>
      </c>
      <c r="F463" s="103">
        <f t="shared" si="51"/>
        <v>0</v>
      </c>
      <c r="G463" s="103">
        <f t="shared" si="52"/>
        <v>0</v>
      </c>
      <c r="H463" s="103">
        <f t="shared" si="55"/>
        <v>0</v>
      </c>
      <c r="I463" s="103">
        <f t="shared" si="53"/>
        <v>0</v>
      </c>
      <c r="J463" s="103">
        <f>SUM($H$18:$H463)</f>
        <v>198030.61344463765</v>
      </c>
    </row>
    <row r="464" spans="1:10" x14ac:dyDescent="0.2">
      <c r="A464" s="101">
        <f>IF(Values_Entered,A463+1,"")</f>
        <v>447</v>
      </c>
      <c r="B464" s="102">
        <f t="shared" si="48"/>
        <v>58135</v>
      </c>
      <c r="C464" s="103">
        <f t="shared" si="54"/>
        <v>0</v>
      </c>
      <c r="D464" s="103">
        <f t="shared" si="49"/>
        <v>1244.5294817906613</v>
      </c>
      <c r="E464" s="104">
        <f t="shared" si="50"/>
        <v>0</v>
      </c>
      <c r="F464" s="103">
        <f t="shared" si="51"/>
        <v>0</v>
      </c>
      <c r="G464" s="103">
        <f t="shared" si="52"/>
        <v>0</v>
      </c>
      <c r="H464" s="103">
        <f t="shared" si="55"/>
        <v>0</v>
      </c>
      <c r="I464" s="103">
        <f t="shared" si="53"/>
        <v>0</v>
      </c>
      <c r="J464" s="103">
        <f>SUM($H$18:$H464)</f>
        <v>198030.61344463765</v>
      </c>
    </row>
    <row r="465" spans="1:10" x14ac:dyDescent="0.2">
      <c r="A465" s="101">
        <f>IF(Values_Entered,A464+1,"")</f>
        <v>448</v>
      </c>
      <c r="B465" s="102">
        <f t="shared" si="48"/>
        <v>58166</v>
      </c>
      <c r="C465" s="103">
        <f t="shared" si="54"/>
        <v>0</v>
      </c>
      <c r="D465" s="103">
        <f t="shared" si="49"/>
        <v>1244.5294817906613</v>
      </c>
      <c r="E465" s="104">
        <f t="shared" si="50"/>
        <v>0</v>
      </c>
      <c r="F465" s="103">
        <f t="shared" si="51"/>
        <v>0</v>
      </c>
      <c r="G465" s="103">
        <f t="shared" si="52"/>
        <v>0</v>
      </c>
      <c r="H465" s="103">
        <f t="shared" si="55"/>
        <v>0</v>
      </c>
      <c r="I465" s="103">
        <f t="shared" si="53"/>
        <v>0</v>
      </c>
      <c r="J465" s="103">
        <f>SUM($H$18:$H465)</f>
        <v>198030.61344463765</v>
      </c>
    </row>
    <row r="466" spans="1:10" x14ac:dyDescent="0.2">
      <c r="A466" s="101">
        <f>IF(Values_Entered,A465+1,"")</f>
        <v>449</v>
      </c>
      <c r="B466" s="102">
        <f t="shared" ref="B466:B497" si="56">IF(Pay_Num&lt;&gt;"",DATE(YEAR(Loan_Start),MONTH(Loan_Start)+(Pay_Num)*12/Num_Pmt_Per_Year,DAY(Loan_Start)),"")</f>
        <v>58196</v>
      </c>
      <c r="C466" s="103">
        <f t="shared" si="54"/>
        <v>0</v>
      </c>
      <c r="D466" s="103">
        <f t="shared" ref="D466:D497" si="57">IF(Pay_Num&lt;&gt;"",Scheduled_Monthly_Payment,"")</f>
        <v>1244.5294817906613</v>
      </c>
      <c r="E466" s="104">
        <f t="shared" ref="E466:E497" si="58">IF(AND(Pay_Num&lt;&gt;"",Sched_Pay+Scheduled_Extra_Payments&lt;Beg_Bal),Scheduled_Extra_Payments,IF(AND(Pay_Num&lt;&gt;"",Beg_Bal-Sched_Pay&gt;0),Beg_Bal-Sched_Pay,IF(Pay_Num&lt;&gt;"",0,"")))</f>
        <v>0</v>
      </c>
      <c r="F466" s="103">
        <f t="shared" ref="F466:F497" si="59">IF(AND(Pay_Num&lt;&gt;"",Sched_Pay+Extra_Pay&lt;Beg_Bal),Sched_Pay+Extra_Pay,IF(Pay_Num&lt;&gt;"",Beg_Bal,""))</f>
        <v>0</v>
      </c>
      <c r="G466" s="103">
        <f t="shared" ref="G466:G497" si="60">IF(Pay_Num&lt;&gt;"",Total_Pay-Int,"")</f>
        <v>0</v>
      </c>
      <c r="H466" s="103">
        <f t="shared" si="55"/>
        <v>0</v>
      </c>
      <c r="I466" s="103">
        <f t="shared" ref="I466:I497" si="61">IF(AND(Pay_Num&lt;&gt;"",Sched_Pay+Extra_Pay&lt;Beg_Bal),Beg_Bal-Princ,IF(Pay_Num&lt;&gt;"",0,""))</f>
        <v>0</v>
      </c>
      <c r="J466" s="103">
        <f>SUM($H$18:$H466)</f>
        <v>198030.61344463765</v>
      </c>
    </row>
    <row r="467" spans="1:10" x14ac:dyDescent="0.2">
      <c r="A467" s="101">
        <f>IF(Values_Entered,A466+1,"")</f>
        <v>450</v>
      </c>
      <c r="B467" s="102">
        <f t="shared" si="56"/>
        <v>58227</v>
      </c>
      <c r="C467" s="103">
        <f t="shared" ref="C467:C497" si="62">IF(Pay_Num&lt;&gt;"",I466,"")</f>
        <v>0</v>
      </c>
      <c r="D467" s="103">
        <f t="shared" si="57"/>
        <v>1244.5294817906613</v>
      </c>
      <c r="E467" s="104">
        <f t="shared" si="58"/>
        <v>0</v>
      </c>
      <c r="F467" s="103">
        <f t="shared" si="59"/>
        <v>0</v>
      </c>
      <c r="G467" s="103">
        <f t="shared" si="60"/>
        <v>0</v>
      </c>
      <c r="H467" s="103">
        <f t="shared" ref="H467:H497" si="63">IF(Pay_Num&lt;&gt;"",Beg_Bal*Interest_Rate/Num_Pmt_Per_Year,"")</f>
        <v>0</v>
      </c>
      <c r="I467" s="103">
        <f t="shared" si="61"/>
        <v>0</v>
      </c>
      <c r="J467" s="103">
        <f>SUM($H$18:$H467)</f>
        <v>198030.61344463765</v>
      </c>
    </row>
    <row r="468" spans="1:10" x14ac:dyDescent="0.2">
      <c r="A468" s="101">
        <f>IF(Values_Entered,A467+1,"")</f>
        <v>451</v>
      </c>
      <c r="B468" s="102">
        <f t="shared" si="56"/>
        <v>58257</v>
      </c>
      <c r="C468" s="103">
        <f t="shared" si="62"/>
        <v>0</v>
      </c>
      <c r="D468" s="103">
        <f t="shared" si="57"/>
        <v>1244.5294817906613</v>
      </c>
      <c r="E468" s="104">
        <f t="shared" si="58"/>
        <v>0</v>
      </c>
      <c r="F468" s="103">
        <f t="shared" si="59"/>
        <v>0</v>
      </c>
      <c r="G468" s="103">
        <f t="shared" si="60"/>
        <v>0</v>
      </c>
      <c r="H468" s="103">
        <f t="shared" si="63"/>
        <v>0</v>
      </c>
      <c r="I468" s="103">
        <f t="shared" si="61"/>
        <v>0</v>
      </c>
      <c r="J468" s="103">
        <f>SUM($H$18:$H468)</f>
        <v>198030.61344463765</v>
      </c>
    </row>
    <row r="469" spans="1:10" x14ac:dyDescent="0.2">
      <c r="A469" s="101">
        <f>IF(Values_Entered,A468+1,"")</f>
        <v>452</v>
      </c>
      <c r="B469" s="102">
        <f t="shared" si="56"/>
        <v>58288</v>
      </c>
      <c r="C469" s="103">
        <f t="shared" si="62"/>
        <v>0</v>
      </c>
      <c r="D469" s="103">
        <f t="shared" si="57"/>
        <v>1244.5294817906613</v>
      </c>
      <c r="E469" s="104">
        <f t="shared" si="58"/>
        <v>0</v>
      </c>
      <c r="F469" s="103">
        <f t="shared" si="59"/>
        <v>0</v>
      </c>
      <c r="G469" s="103">
        <f t="shared" si="60"/>
        <v>0</v>
      </c>
      <c r="H469" s="103">
        <f t="shared" si="63"/>
        <v>0</v>
      </c>
      <c r="I469" s="103">
        <f t="shared" si="61"/>
        <v>0</v>
      </c>
      <c r="J469" s="103">
        <f>SUM($H$18:$H469)</f>
        <v>198030.61344463765</v>
      </c>
    </row>
    <row r="470" spans="1:10" x14ac:dyDescent="0.2">
      <c r="A470" s="101">
        <f>IF(Values_Entered,A469+1,"")</f>
        <v>453</v>
      </c>
      <c r="B470" s="102">
        <f t="shared" si="56"/>
        <v>58319</v>
      </c>
      <c r="C470" s="103">
        <f t="shared" si="62"/>
        <v>0</v>
      </c>
      <c r="D470" s="103">
        <f t="shared" si="57"/>
        <v>1244.5294817906613</v>
      </c>
      <c r="E470" s="104">
        <f t="shared" si="58"/>
        <v>0</v>
      </c>
      <c r="F470" s="103">
        <f t="shared" si="59"/>
        <v>0</v>
      </c>
      <c r="G470" s="103">
        <f t="shared" si="60"/>
        <v>0</v>
      </c>
      <c r="H470" s="103">
        <f t="shared" si="63"/>
        <v>0</v>
      </c>
      <c r="I470" s="103">
        <f t="shared" si="61"/>
        <v>0</v>
      </c>
      <c r="J470" s="103">
        <f>SUM($H$18:$H470)</f>
        <v>198030.61344463765</v>
      </c>
    </row>
    <row r="471" spans="1:10" x14ac:dyDescent="0.2">
      <c r="A471" s="101">
        <f>IF(Values_Entered,A470+1,"")</f>
        <v>454</v>
      </c>
      <c r="B471" s="102">
        <f t="shared" si="56"/>
        <v>58349</v>
      </c>
      <c r="C471" s="103">
        <f t="shared" si="62"/>
        <v>0</v>
      </c>
      <c r="D471" s="103">
        <f t="shared" si="57"/>
        <v>1244.5294817906613</v>
      </c>
      <c r="E471" s="104">
        <f t="shared" si="58"/>
        <v>0</v>
      </c>
      <c r="F471" s="103">
        <f t="shared" si="59"/>
        <v>0</v>
      </c>
      <c r="G471" s="103">
        <f t="shared" si="60"/>
        <v>0</v>
      </c>
      <c r="H471" s="103">
        <f t="shared" si="63"/>
        <v>0</v>
      </c>
      <c r="I471" s="103">
        <f t="shared" si="61"/>
        <v>0</v>
      </c>
      <c r="J471" s="103">
        <f>SUM($H$18:$H471)</f>
        <v>198030.61344463765</v>
      </c>
    </row>
    <row r="472" spans="1:10" x14ac:dyDescent="0.2">
      <c r="A472" s="101">
        <f>IF(Values_Entered,A471+1,"")</f>
        <v>455</v>
      </c>
      <c r="B472" s="102">
        <f t="shared" si="56"/>
        <v>58380</v>
      </c>
      <c r="C472" s="103">
        <f t="shared" si="62"/>
        <v>0</v>
      </c>
      <c r="D472" s="103">
        <f t="shared" si="57"/>
        <v>1244.5294817906613</v>
      </c>
      <c r="E472" s="104">
        <f t="shared" si="58"/>
        <v>0</v>
      </c>
      <c r="F472" s="103">
        <f t="shared" si="59"/>
        <v>0</v>
      </c>
      <c r="G472" s="103">
        <f t="shared" si="60"/>
        <v>0</v>
      </c>
      <c r="H472" s="103">
        <f t="shared" si="63"/>
        <v>0</v>
      </c>
      <c r="I472" s="103">
        <f t="shared" si="61"/>
        <v>0</v>
      </c>
      <c r="J472" s="103">
        <f>SUM($H$18:$H472)</f>
        <v>198030.61344463765</v>
      </c>
    </row>
    <row r="473" spans="1:10" x14ac:dyDescent="0.2">
      <c r="A473" s="101">
        <f>IF(Values_Entered,A472+1,"")</f>
        <v>456</v>
      </c>
      <c r="B473" s="102">
        <f t="shared" si="56"/>
        <v>58410</v>
      </c>
      <c r="C473" s="103">
        <f t="shared" si="62"/>
        <v>0</v>
      </c>
      <c r="D473" s="103">
        <f t="shared" si="57"/>
        <v>1244.5294817906613</v>
      </c>
      <c r="E473" s="104">
        <f t="shared" si="58"/>
        <v>0</v>
      </c>
      <c r="F473" s="103">
        <f t="shared" si="59"/>
        <v>0</v>
      </c>
      <c r="G473" s="103">
        <f t="shared" si="60"/>
        <v>0</v>
      </c>
      <c r="H473" s="103">
        <f t="shared" si="63"/>
        <v>0</v>
      </c>
      <c r="I473" s="103">
        <f t="shared" si="61"/>
        <v>0</v>
      </c>
      <c r="J473" s="103">
        <f>SUM($H$18:$H473)</f>
        <v>198030.61344463765</v>
      </c>
    </row>
    <row r="474" spans="1:10" x14ac:dyDescent="0.2">
      <c r="A474" s="101">
        <f>IF(Values_Entered,A473+1,"")</f>
        <v>457</v>
      </c>
      <c r="B474" s="102">
        <f t="shared" si="56"/>
        <v>58441</v>
      </c>
      <c r="C474" s="103">
        <f t="shared" si="62"/>
        <v>0</v>
      </c>
      <c r="D474" s="103">
        <f t="shared" si="57"/>
        <v>1244.5294817906613</v>
      </c>
      <c r="E474" s="104">
        <f t="shared" si="58"/>
        <v>0</v>
      </c>
      <c r="F474" s="103">
        <f t="shared" si="59"/>
        <v>0</v>
      </c>
      <c r="G474" s="103">
        <f t="shared" si="60"/>
        <v>0</v>
      </c>
      <c r="H474" s="103">
        <f t="shared" si="63"/>
        <v>0</v>
      </c>
      <c r="I474" s="103">
        <f t="shared" si="61"/>
        <v>0</v>
      </c>
      <c r="J474" s="103">
        <f>SUM($H$18:$H474)</f>
        <v>198030.61344463765</v>
      </c>
    </row>
    <row r="475" spans="1:10" x14ac:dyDescent="0.2">
      <c r="A475" s="101">
        <f>IF(Values_Entered,A474+1,"")</f>
        <v>458</v>
      </c>
      <c r="B475" s="102">
        <f t="shared" si="56"/>
        <v>58472</v>
      </c>
      <c r="C475" s="103">
        <f t="shared" si="62"/>
        <v>0</v>
      </c>
      <c r="D475" s="103">
        <f t="shared" si="57"/>
        <v>1244.5294817906613</v>
      </c>
      <c r="E475" s="104">
        <f t="shared" si="58"/>
        <v>0</v>
      </c>
      <c r="F475" s="103">
        <f t="shared" si="59"/>
        <v>0</v>
      </c>
      <c r="G475" s="103">
        <f t="shared" si="60"/>
        <v>0</v>
      </c>
      <c r="H475" s="103">
        <f t="shared" si="63"/>
        <v>0</v>
      </c>
      <c r="I475" s="103">
        <f t="shared" si="61"/>
        <v>0</v>
      </c>
      <c r="J475" s="103">
        <f>SUM($H$18:$H475)</f>
        <v>198030.61344463765</v>
      </c>
    </row>
    <row r="476" spans="1:10" x14ac:dyDescent="0.2">
      <c r="A476" s="101">
        <f>IF(Values_Entered,A475+1,"")</f>
        <v>459</v>
      </c>
      <c r="B476" s="102">
        <f t="shared" si="56"/>
        <v>58501</v>
      </c>
      <c r="C476" s="103">
        <f t="shared" si="62"/>
        <v>0</v>
      </c>
      <c r="D476" s="103">
        <f t="shared" si="57"/>
        <v>1244.5294817906613</v>
      </c>
      <c r="E476" s="104">
        <f t="shared" si="58"/>
        <v>0</v>
      </c>
      <c r="F476" s="103">
        <f t="shared" si="59"/>
        <v>0</v>
      </c>
      <c r="G476" s="103">
        <f t="shared" si="60"/>
        <v>0</v>
      </c>
      <c r="H476" s="103">
        <f t="shared" si="63"/>
        <v>0</v>
      </c>
      <c r="I476" s="103">
        <f t="shared" si="61"/>
        <v>0</v>
      </c>
      <c r="J476" s="103">
        <f>SUM($H$18:$H476)</f>
        <v>198030.61344463765</v>
      </c>
    </row>
    <row r="477" spans="1:10" x14ac:dyDescent="0.2">
      <c r="A477" s="101">
        <f>IF(Values_Entered,A476+1,"")</f>
        <v>460</v>
      </c>
      <c r="B477" s="102">
        <f t="shared" si="56"/>
        <v>58532</v>
      </c>
      <c r="C477" s="103">
        <f t="shared" si="62"/>
        <v>0</v>
      </c>
      <c r="D477" s="103">
        <f t="shared" si="57"/>
        <v>1244.5294817906613</v>
      </c>
      <c r="E477" s="104">
        <f t="shared" si="58"/>
        <v>0</v>
      </c>
      <c r="F477" s="103">
        <f t="shared" si="59"/>
        <v>0</v>
      </c>
      <c r="G477" s="103">
        <f t="shared" si="60"/>
        <v>0</v>
      </c>
      <c r="H477" s="103">
        <f t="shared" si="63"/>
        <v>0</v>
      </c>
      <c r="I477" s="103">
        <f t="shared" si="61"/>
        <v>0</v>
      </c>
      <c r="J477" s="103">
        <f>SUM($H$18:$H477)</f>
        <v>198030.61344463765</v>
      </c>
    </row>
    <row r="478" spans="1:10" x14ac:dyDescent="0.2">
      <c r="A478" s="101">
        <f>IF(Values_Entered,A477+1,"")</f>
        <v>461</v>
      </c>
      <c r="B478" s="102">
        <f t="shared" si="56"/>
        <v>58562</v>
      </c>
      <c r="C478" s="103">
        <f t="shared" si="62"/>
        <v>0</v>
      </c>
      <c r="D478" s="103">
        <f t="shared" si="57"/>
        <v>1244.5294817906613</v>
      </c>
      <c r="E478" s="104">
        <f t="shared" si="58"/>
        <v>0</v>
      </c>
      <c r="F478" s="103">
        <f t="shared" si="59"/>
        <v>0</v>
      </c>
      <c r="G478" s="103">
        <f t="shared" si="60"/>
        <v>0</v>
      </c>
      <c r="H478" s="103">
        <f t="shared" si="63"/>
        <v>0</v>
      </c>
      <c r="I478" s="103">
        <f t="shared" si="61"/>
        <v>0</v>
      </c>
      <c r="J478" s="103">
        <f>SUM($H$18:$H478)</f>
        <v>198030.61344463765</v>
      </c>
    </row>
    <row r="479" spans="1:10" x14ac:dyDescent="0.2">
      <c r="A479" s="101">
        <f>IF(Values_Entered,A478+1,"")</f>
        <v>462</v>
      </c>
      <c r="B479" s="102">
        <f t="shared" si="56"/>
        <v>58593</v>
      </c>
      <c r="C479" s="103">
        <f t="shared" si="62"/>
        <v>0</v>
      </c>
      <c r="D479" s="103">
        <f t="shared" si="57"/>
        <v>1244.5294817906613</v>
      </c>
      <c r="E479" s="104">
        <f t="shared" si="58"/>
        <v>0</v>
      </c>
      <c r="F479" s="103">
        <f t="shared" si="59"/>
        <v>0</v>
      </c>
      <c r="G479" s="103">
        <f t="shared" si="60"/>
        <v>0</v>
      </c>
      <c r="H479" s="103">
        <f t="shared" si="63"/>
        <v>0</v>
      </c>
      <c r="I479" s="103">
        <f t="shared" si="61"/>
        <v>0</v>
      </c>
      <c r="J479" s="103">
        <f>SUM($H$18:$H479)</f>
        <v>198030.61344463765</v>
      </c>
    </row>
    <row r="480" spans="1:10" x14ac:dyDescent="0.2">
      <c r="A480" s="101">
        <f>IF(Values_Entered,A479+1,"")</f>
        <v>463</v>
      </c>
      <c r="B480" s="102">
        <f t="shared" si="56"/>
        <v>58623</v>
      </c>
      <c r="C480" s="103">
        <f t="shared" si="62"/>
        <v>0</v>
      </c>
      <c r="D480" s="103">
        <f t="shared" si="57"/>
        <v>1244.5294817906613</v>
      </c>
      <c r="E480" s="104">
        <f t="shared" si="58"/>
        <v>0</v>
      </c>
      <c r="F480" s="103">
        <f t="shared" si="59"/>
        <v>0</v>
      </c>
      <c r="G480" s="103">
        <f t="shared" si="60"/>
        <v>0</v>
      </c>
      <c r="H480" s="103">
        <f t="shared" si="63"/>
        <v>0</v>
      </c>
      <c r="I480" s="103">
        <f t="shared" si="61"/>
        <v>0</v>
      </c>
      <c r="J480" s="103">
        <f>SUM($H$18:$H480)</f>
        <v>198030.61344463765</v>
      </c>
    </row>
    <row r="481" spans="1:10" x14ac:dyDescent="0.2">
      <c r="A481" s="101">
        <f>IF(Values_Entered,A480+1,"")</f>
        <v>464</v>
      </c>
      <c r="B481" s="102">
        <f t="shared" si="56"/>
        <v>58654</v>
      </c>
      <c r="C481" s="103">
        <f t="shared" si="62"/>
        <v>0</v>
      </c>
      <c r="D481" s="103">
        <f t="shared" si="57"/>
        <v>1244.5294817906613</v>
      </c>
      <c r="E481" s="104">
        <f t="shared" si="58"/>
        <v>0</v>
      </c>
      <c r="F481" s="103">
        <f t="shared" si="59"/>
        <v>0</v>
      </c>
      <c r="G481" s="103">
        <f t="shared" si="60"/>
        <v>0</v>
      </c>
      <c r="H481" s="103">
        <f t="shared" si="63"/>
        <v>0</v>
      </c>
      <c r="I481" s="103">
        <f t="shared" si="61"/>
        <v>0</v>
      </c>
      <c r="J481" s="103">
        <f>SUM($H$18:$H481)</f>
        <v>198030.61344463765</v>
      </c>
    </row>
    <row r="482" spans="1:10" x14ac:dyDescent="0.2">
      <c r="A482" s="101">
        <f>IF(Values_Entered,A481+1,"")</f>
        <v>465</v>
      </c>
      <c r="B482" s="102">
        <f t="shared" si="56"/>
        <v>58685</v>
      </c>
      <c r="C482" s="103">
        <f t="shared" si="62"/>
        <v>0</v>
      </c>
      <c r="D482" s="103">
        <f t="shared" si="57"/>
        <v>1244.5294817906613</v>
      </c>
      <c r="E482" s="104">
        <f t="shared" si="58"/>
        <v>0</v>
      </c>
      <c r="F482" s="103">
        <f t="shared" si="59"/>
        <v>0</v>
      </c>
      <c r="G482" s="103">
        <f t="shared" si="60"/>
        <v>0</v>
      </c>
      <c r="H482" s="103">
        <f t="shared" si="63"/>
        <v>0</v>
      </c>
      <c r="I482" s="103">
        <f t="shared" si="61"/>
        <v>0</v>
      </c>
      <c r="J482" s="103">
        <f>SUM($H$18:$H482)</f>
        <v>198030.61344463765</v>
      </c>
    </row>
    <row r="483" spans="1:10" x14ac:dyDescent="0.2">
      <c r="A483" s="101">
        <f>IF(Values_Entered,A482+1,"")</f>
        <v>466</v>
      </c>
      <c r="B483" s="102">
        <f t="shared" si="56"/>
        <v>58715</v>
      </c>
      <c r="C483" s="103">
        <f t="shared" si="62"/>
        <v>0</v>
      </c>
      <c r="D483" s="103">
        <f t="shared" si="57"/>
        <v>1244.5294817906613</v>
      </c>
      <c r="E483" s="104">
        <f t="shared" si="58"/>
        <v>0</v>
      </c>
      <c r="F483" s="103">
        <f t="shared" si="59"/>
        <v>0</v>
      </c>
      <c r="G483" s="103">
        <f t="shared" si="60"/>
        <v>0</v>
      </c>
      <c r="H483" s="103">
        <f t="shared" si="63"/>
        <v>0</v>
      </c>
      <c r="I483" s="103">
        <f t="shared" si="61"/>
        <v>0</v>
      </c>
      <c r="J483" s="103">
        <f>SUM($H$18:$H483)</f>
        <v>198030.61344463765</v>
      </c>
    </row>
    <row r="484" spans="1:10" x14ac:dyDescent="0.2">
      <c r="A484" s="101">
        <f>IF(Values_Entered,A483+1,"")</f>
        <v>467</v>
      </c>
      <c r="B484" s="102">
        <f t="shared" si="56"/>
        <v>58746</v>
      </c>
      <c r="C484" s="103">
        <f t="shared" si="62"/>
        <v>0</v>
      </c>
      <c r="D484" s="103">
        <f t="shared" si="57"/>
        <v>1244.5294817906613</v>
      </c>
      <c r="E484" s="104">
        <f t="shared" si="58"/>
        <v>0</v>
      </c>
      <c r="F484" s="103">
        <f t="shared" si="59"/>
        <v>0</v>
      </c>
      <c r="G484" s="103">
        <f t="shared" si="60"/>
        <v>0</v>
      </c>
      <c r="H484" s="103">
        <f t="shared" si="63"/>
        <v>0</v>
      </c>
      <c r="I484" s="103">
        <f t="shared" si="61"/>
        <v>0</v>
      </c>
      <c r="J484" s="103">
        <f>SUM($H$18:$H484)</f>
        <v>198030.61344463765</v>
      </c>
    </row>
    <row r="485" spans="1:10" x14ac:dyDescent="0.2">
      <c r="A485" s="101">
        <f>IF(Values_Entered,A484+1,"")</f>
        <v>468</v>
      </c>
      <c r="B485" s="102">
        <f t="shared" si="56"/>
        <v>58776</v>
      </c>
      <c r="C485" s="103">
        <f t="shared" si="62"/>
        <v>0</v>
      </c>
      <c r="D485" s="103">
        <f t="shared" si="57"/>
        <v>1244.5294817906613</v>
      </c>
      <c r="E485" s="104">
        <f t="shared" si="58"/>
        <v>0</v>
      </c>
      <c r="F485" s="103">
        <f t="shared" si="59"/>
        <v>0</v>
      </c>
      <c r="G485" s="103">
        <f t="shared" si="60"/>
        <v>0</v>
      </c>
      <c r="H485" s="103">
        <f t="shared" si="63"/>
        <v>0</v>
      </c>
      <c r="I485" s="103">
        <f t="shared" si="61"/>
        <v>0</v>
      </c>
      <c r="J485" s="103">
        <f>SUM($H$18:$H485)</f>
        <v>198030.61344463765</v>
      </c>
    </row>
    <row r="486" spans="1:10" x14ac:dyDescent="0.2">
      <c r="A486" s="101">
        <f>IF(Values_Entered,A485+1,"")</f>
        <v>469</v>
      </c>
      <c r="B486" s="102">
        <f t="shared" si="56"/>
        <v>58807</v>
      </c>
      <c r="C486" s="103">
        <f t="shared" si="62"/>
        <v>0</v>
      </c>
      <c r="D486" s="103">
        <f t="shared" si="57"/>
        <v>1244.5294817906613</v>
      </c>
      <c r="E486" s="104">
        <f t="shared" si="58"/>
        <v>0</v>
      </c>
      <c r="F486" s="103">
        <f t="shared" si="59"/>
        <v>0</v>
      </c>
      <c r="G486" s="103">
        <f t="shared" si="60"/>
        <v>0</v>
      </c>
      <c r="H486" s="103">
        <f t="shared" si="63"/>
        <v>0</v>
      </c>
      <c r="I486" s="103">
        <f t="shared" si="61"/>
        <v>0</v>
      </c>
      <c r="J486" s="103">
        <f>SUM($H$18:$H486)</f>
        <v>198030.61344463765</v>
      </c>
    </row>
    <row r="487" spans="1:10" x14ac:dyDescent="0.2">
      <c r="A487" s="101">
        <f>IF(Values_Entered,A486+1,"")</f>
        <v>470</v>
      </c>
      <c r="B487" s="102">
        <f t="shared" si="56"/>
        <v>58838</v>
      </c>
      <c r="C487" s="103">
        <f t="shared" si="62"/>
        <v>0</v>
      </c>
      <c r="D487" s="103">
        <f t="shared" si="57"/>
        <v>1244.5294817906613</v>
      </c>
      <c r="E487" s="104">
        <f t="shared" si="58"/>
        <v>0</v>
      </c>
      <c r="F487" s="103">
        <f t="shared" si="59"/>
        <v>0</v>
      </c>
      <c r="G487" s="103">
        <f t="shared" si="60"/>
        <v>0</v>
      </c>
      <c r="H487" s="103">
        <f t="shared" si="63"/>
        <v>0</v>
      </c>
      <c r="I487" s="103">
        <f t="shared" si="61"/>
        <v>0</v>
      </c>
      <c r="J487" s="103">
        <f>SUM($H$18:$H487)</f>
        <v>198030.61344463765</v>
      </c>
    </row>
    <row r="488" spans="1:10" x14ac:dyDescent="0.2">
      <c r="A488" s="101">
        <f>IF(Values_Entered,A487+1,"")</f>
        <v>471</v>
      </c>
      <c r="B488" s="102">
        <f t="shared" si="56"/>
        <v>58866</v>
      </c>
      <c r="C488" s="103">
        <f t="shared" si="62"/>
        <v>0</v>
      </c>
      <c r="D488" s="103">
        <f t="shared" si="57"/>
        <v>1244.5294817906613</v>
      </c>
      <c r="E488" s="104">
        <f t="shared" si="58"/>
        <v>0</v>
      </c>
      <c r="F488" s="103">
        <f t="shared" si="59"/>
        <v>0</v>
      </c>
      <c r="G488" s="103">
        <f t="shared" si="60"/>
        <v>0</v>
      </c>
      <c r="H488" s="103">
        <f t="shared" si="63"/>
        <v>0</v>
      </c>
      <c r="I488" s="103">
        <f t="shared" si="61"/>
        <v>0</v>
      </c>
      <c r="J488" s="103">
        <f>SUM($H$18:$H488)</f>
        <v>198030.61344463765</v>
      </c>
    </row>
    <row r="489" spans="1:10" x14ac:dyDescent="0.2">
      <c r="A489" s="101">
        <f>IF(Values_Entered,A488+1,"")</f>
        <v>472</v>
      </c>
      <c r="B489" s="102">
        <f t="shared" si="56"/>
        <v>58897</v>
      </c>
      <c r="C489" s="103">
        <f t="shared" si="62"/>
        <v>0</v>
      </c>
      <c r="D489" s="103">
        <f t="shared" si="57"/>
        <v>1244.5294817906613</v>
      </c>
      <c r="E489" s="104">
        <f t="shared" si="58"/>
        <v>0</v>
      </c>
      <c r="F489" s="103">
        <f t="shared" si="59"/>
        <v>0</v>
      </c>
      <c r="G489" s="103">
        <f t="shared" si="60"/>
        <v>0</v>
      </c>
      <c r="H489" s="103">
        <f t="shared" si="63"/>
        <v>0</v>
      </c>
      <c r="I489" s="103">
        <f t="shared" si="61"/>
        <v>0</v>
      </c>
      <c r="J489" s="103">
        <f>SUM($H$18:$H489)</f>
        <v>198030.61344463765</v>
      </c>
    </row>
    <row r="490" spans="1:10" x14ac:dyDescent="0.2">
      <c r="A490" s="101">
        <f>IF(Values_Entered,A489+1,"")</f>
        <v>473</v>
      </c>
      <c r="B490" s="102">
        <f t="shared" si="56"/>
        <v>58927</v>
      </c>
      <c r="C490" s="103">
        <f t="shared" si="62"/>
        <v>0</v>
      </c>
      <c r="D490" s="103">
        <f t="shared" si="57"/>
        <v>1244.5294817906613</v>
      </c>
      <c r="E490" s="104">
        <f t="shared" si="58"/>
        <v>0</v>
      </c>
      <c r="F490" s="103">
        <f t="shared" si="59"/>
        <v>0</v>
      </c>
      <c r="G490" s="103">
        <f t="shared" si="60"/>
        <v>0</v>
      </c>
      <c r="H490" s="103">
        <f t="shared" si="63"/>
        <v>0</v>
      </c>
      <c r="I490" s="103">
        <f t="shared" si="61"/>
        <v>0</v>
      </c>
      <c r="J490" s="103">
        <f>SUM($H$18:$H490)</f>
        <v>198030.61344463765</v>
      </c>
    </row>
    <row r="491" spans="1:10" x14ac:dyDescent="0.2">
      <c r="A491" s="101">
        <f>IF(Values_Entered,A490+1,"")</f>
        <v>474</v>
      </c>
      <c r="B491" s="102">
        <f t="shared" si="56"/>
        <v>58958</v>
      </c>
      <c r="C491" s="103">
        <f t="shared" si="62"/>
        <v>0</v>
      </c>
      <c r="D491" s="103">
        <f t="shared" si="57"/>
        <v>1244.5294817906613</v>
      </c>
      <c r="E491" s="104">
        <f t="shared" si="58"/>
        <v>0</v>
      </c>
      <c r="F491" s="103">
        <f t="shared" si="59"/>
        <v>0</v>
      </c>
      <c r="G491" s="103">
        <f t="shared" si="60"/>
        <v>0</v>
      </c>
      <c r="H491" s="103">
        <f t="shared" si="63"/>
        <v>0</v>
      </c>
      <c r="I491" s="103">
        <f t="shared" si="61"/>
        <v>0</v>
      </c>
      <c r="J491" s="103">
        <f>SUM($H$18:$H491)</f>
        <v>198030.61344463765</v>
      </c>
    </row>
    <row r="492" spans="1:10" x14ac:dyDescent="0.2">
      <c r="A492" s="101">
        <f>IF(Values_Entered,A491+1,"")</f>
        <v>475</v>
      </c>
      <c r="B492" s="102">
        <f t="shared" si="56"/>
        <v>58988</v>
      </c>
      <c r="C492" s="103">
        <f t="shared" si="62"/>
        <v>0</v>
      </c>
      <c r="D492" s="103">
        <f t="shared" si="57"/>
        <v>1244.5294817906613</v>
      </c>
      <c r="E492" s="104">
        <f t="shared" si="58"/>
        <v>0</v>
      </c>
      <c r="F492" s="103">
        <f t="shared" si="59"/>
        <v>0</v>
      </c>
      <c r="G492" s="103">
        <f t="shared" si="60"/>
        <v>0</v>
      </c>
      <c r="H492" s="103">
        <f t="shared" si="63"/>
        <v>0</v>
      </c>
      <c r="I492" s="103">
        <f t="shared" si="61"/>
        <v>0</v>
      </c>
      <c r="J492" s="103">
        <f>SUM($H$18:$H492)</f>
        <v>198030.61344463765</v>
      </c>
    </row>
    <row r="493" spans="1:10" x14ac:dyDescent="0.2">
      <c r="A493" s="101">
        <f>IF(Values_Entered,A492+1,"")</f>
        <v>476</v>
      </c>
      <c r="B493" s="102">
        <f t="shared" si="56"/>
        <v>59019</v>
      </c>
      <c r="C493" s="103">
        <f t="shared" si="62"/>
        <v>0</v>
      </c>
      <c r="D493" s="103">
        <f t="shared" si="57"/>
        <v>1244.5294817906613</v>
      </c>
      <c r="E493" s="104">
        <f t="shared" si="58"/>
        <v>0</v>
      </c>
      <c r="F493" s="103">
        <f t="shared" si="59"/>
        <v>0</v>
      </c>
      <c r="G493" s="103">
        <f t="shared" si="60"/>
        <v>0</v>
      </c>
      <c r="H493" s="103">
        <f t="shared" si="63"/>
        <v>0</v>
      </c>
      <c r="I493" s="103">
        <f t="shared" si="61"/>
        <v>0</v>
      </c>
      <c r="J493" s="103">
        <f>SUM($H$18:$H493)</f>
        <v>198030.61344463765</v>
      </c>
    </row>
    <row r="494" spans="1:10" x14ac:dyDescent="0.2">
      <c r="A494" s="101">
        <f>IF(Values_Entered,A493+1,"")</f>
        <v>477</v>
      </c>
      <c r="B494" s="102">
        <f t="shared" si="56"/>
        <v>59050</v>
      </c>
      <c r="C494" s="103">
        <f t="shared" si="62"/>
        <v>0</v>
      </c>
      <c r="D494" s="103">
        <f t="shared" si="57"/>
        <v>1244.5294817906613</v>
      </c>
      <c r="E494" s="104">
        <f t="shared" si="58"/>
        <v>0</v>
      </c>
      <c r="F494" s="103">
        <f t="shared" si="59"/>
        <v>0</v>
      </c>
      <c r="G494" s="103">
        <f t="shared" si="60"/>
        <v>0</v>
      </c>
      <c r="H494" s="103">
        <f t="shared" si="63"/>
        <v>0</v>
      </c>
      <c r="I494" s="103">
        <f t="shared" si="61"/>
        <v>0</v>
      </c>
      <c r="J494" s="103">
        <f>SUM($H$18:$H494)</f>
        <v>198030.61344463765</v>
      </c>
    </row>
    <row r="495" spans="1:10" x14ac:dyDescent="0.2">
      <c r="A495" s="101">
        <f>IF(Values_Entered,A494+1,"")</f>
        <v>478</v>
      </c>
      <c r="B495" s="102">
        <f t="shared" si="56"/>
        <v>59080</v>
      </c>
      <c r="C495" s="103">
        <f t="shared" si="62"/>
        <v>0</v>
      </c>
      <c r="D495" s="103">
        <f t="shared" si="57"/>
        <v>1244.5294817906613</v>
      </c>
      <c r="E495" s="104">
        <f t="shared" si="58"/>
        <v>0</v>
      </c>
      <c r="F495" s="103">
        <f t="shared" si="59"/>
        <v>0</v>
      </c>
      <c r="G495" s="103">
        <f t="shared" si="60"/>
        <v>0</v>
      </c>
      <c r="H495" s="103">
        <f t="shared" si="63"/>
        <v>0</v>
      </c>
      <c r="I495" s="103">
        <f t="shared" si="61"/>
        <v>0</v>
      </c>
      <c r="J495" s="103">
        <f>SUM($H$18:$H495)</f>
        <v>198030.61344463765</v>
      </c>
    </row>
    <row r="496" spans="1:10" x14ac:dyDescent="0.2">
      <c r="A496" s="101">
        <f>IF(Values_Entered,A495+1,"")</f>
        <v>479</v>
      </c>
      <c r="B496" s="102">
        <f t="shared" si="56"/>
        <v>59111</v>
      </c>
      <c r="C496" s="103">
        <f t="shared" si="62"/>
        <v>0</v>
      </c>
      <c r="D496" s="103">
        <f t="shared" si="57"/>
        <v>1244.5294817906613</v>
      </c>
      <c r="E496" s="104">
        <f t="shared" si="58"/>
        <v>0</v>
      </c>
      <c r="F496" s="103">
        <f t="shared" si="59"/>
        <v>0</v>
      </c>
      <c r="G496" s="103">
        <f t="shared" si="60"/>
        <v>0</v>
      </c>
      <c r="H496" s="103">
        <f t="shared" si="63"/>
        <v>0</v>
      </c>
      <c r="I496" s="103">
        <f t="shared" si="61"/>
        <v>0</v>
      </c>
      <c r="J496" s="103">
        <f>SUM($H$18:$H496)</f>
        <v>198030.61344463765</v>
      </c>
    </row>
    <row r="497" spans="1:10" x14ac:dyDescent="0.2">
      <c r="A497" s="101">
        <f>IF(Values_Entered,A496+1,"")</f>
        <v>480</v>
      </c>
      <c r="B497" s="102">
        <f t="shared" si="56"/>
        <v>59141</v>
      </c>
      <c r="C497" s="103">
        <f t="shared" si="62"/>
        <v>0</v>
      </c>
      <c r="D497" s="103">
        <f t="shared" si="57"/>
        <v>1244.5294817906613</v>
      </c>
      <c r="E497" s="104">
        <f t="shared" si="58"/>
        <v>0</v>
      </c>
      <c r="F497" s="103">
        <f t="shared" si="59"/>
        <v>0</v>
      </c>
      <c r="G497" s="103">
        <f t="shared" si="60"/>
        <v>0</v>
      </c>
      <c r="H497" s="103">
        <f t="shared" si="63"/>
        <v>0</v>
      </c>
      <c r="I497" s="103">
        <f t="shared" si="61"/>
        <v>0</v>
      </c>
      <c r="J497" s="103">
        <f>SUM($H$18:$H497)</f>
        <v>198030.61344463765</v>
      </c>
    </row>
  </sheetData>
  <sheetProtection sheet="1" objects="1" scenarios="1" selectLockedCells="1"/>
  <mergeCells count="3">
    <mergeCell ref="C12:D12"/>
    <mergeCell ref="B4:D4"/>
    <mergeCell ref="H4:J4"/>
  </mergeCells>
  <conditionalFormatting sqref="A18:E497">
    <cfRule type="expression" dxfId="5" priority="1" stopIfTrue="1">
      <formula>IF(ROW(A18)&gt;Last_Row,TRUE, FALSE)</formula>
    </cfRule>
    <cfRule type="expression" dxfId="4" priority="2" stopIfTrue="1">
      <formula>IF(ROW(A18)=Last_Row,TRUE, FALSE)</formula>
    </cfRule>
    <cfRule type="expression" dxfId="3" priority="3" stopIfTrue="1">
      <formula>IF(ROW(A18)&lt;Last_Row,TRUE, FALSE)</formula>
    </cfRule>
  </conditionalFormatting>
  <conditionalFormatting sqref="F18:J497">
    <cfRule type="expression" dxfId="2" priority="4" stopIfTrue="1">
      <formula>IF(ROW(F18)&gt;Last_Row,TRUE, FALSE)</formula>
    </cfRule>
    <cfRule type="expression" dxfId="1" priority="5" stopIfTrue="1">
      <formula>IF(ROW(F18)=Last_Row,TRUE, FALSE)</formula>
    </cfRule>
    <cfRule type="expression" dxfId="0" priority="6" stopIfTrue="1">
      <formula>IF(ROW(F18)&lt;=Last_Row,TRUE, FALSE)</formula>
    </cfRule>
  </conditionalFormatting>
  <dataValidations count="3">
    <dataValidation allowBlank="1" showInputMessage="1" showErrorMessage="1" promptTitle="Extra Payments" prompt="Enter an amount here if you want to make additional principal payments every pay period._x000a__x000a_For occasional extra payments, enter the extra principal amounts directly in the 'Extra Payment' column below." sqref="D10"/>
    <dataValidation type="date" operator="greaterThanOrEqual" allowBlank="1" showInputMessage="1" showErrorMessage="1" errorTitle="Date" error="Please enter a valid date greater than or equal to January 1, 1900." sqref="D9">
      <formula1>1</formula1>
    </dataValidation>
    <dataValidation type="whole" allowBlank="1" showInputMessage="1" showErrorMessage="1" errorTitle="Years" error="Please enter a whole number of years from 1 to 40." sqref="D7">
      <formula1>1</formula1>
      <formula2>40</formula2>
    </dataValidation>
  </dataValidations>
  <pageMargins left="0.5" right="0.5" top="0.5" bottom="0.5"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23"/>
  <sheetViews>
    <sheetView workbookViewId="0"/>
  </sheetViews>
  <sheetFormatPr defaultColWidth="9.140625" defaultRowHeight="15.75" x14ac:dyDescent="0.25"/>
  <cols>
    <col min="1" max="1" width="4.7109375" style="107" customWidth="1"/>
    <col min="2" max="18" width="14.7109375" style="3" customWidth="1"/>
    <col min="19" max="64" width="10.7109375" style="3" customWidth="1"/>
    <col min="65" max="16384" width="9.140625" style="3"/>
  </cols>
  <sheetData>
    <row r="1" spans="1:12" ht="16.5" thickBot="1" x14ac:dyDescent="0.3"/>
    <row r="2" spans="1:12" ht="21.75" thickBot="1" x14ac:dyDescent="0.4">
      <c r="B2" s="180" t="s">
        <v>182</v>
      </c>
      <c r="C2" s="181"/>
    </row>
    <row r="4" spans="1:12" ht="15.75" customHeight="1" x14ac:dyDescent="0.25">
      <c r="B4" s="164" t="s">
        <v>163</v>
      </c>
      <c r="C4" s="164"/>
      <c r="D4" s="164"/>
      <c r="E4" s="164"/>
      <c r="F4" s="164"/>
      <c r="G4" s="164"/>
      <c r="H4" s="164"/>
      <c r="I4" s="164"/>
      <c r="J4" s="164"/>
      <c r="K4" s="164"/>
      <c r="L4" s="53"/>
    </row>
    <row r="6" spans="1:12" ht="31.5" customHeight="1" x14ac:dyDescent="0.25">
      <c r="B6" s="164" t="s">
        <v>164</v>
      </c>
      <c r="C6" s="164"/>
      <c r="D6" s="164"/>
      <c r="E6" s="164"/>
      <c r="F6" s="164"/>
      <c r="G6" s="164"/>
      <c r="H6" s="164"/>
      <c r="I6" s="164"/>
      <c r="J6" s="164"/>
      <c r="K6" s="164"/>
      <c r="L6" s="53"/>
    </row>
    <row r="8" spans="1:12" x14ac:dyDescent="0.25">
      <c r="B8" s="3" t="s">
        <v>255</v>
      </c>
      <c r="E8" s="113">
        <v>30</v>
      </c>
    </row>
    <row r="9" spans="1:12" x14ac:dyDescent="0.25">
      <c r="B9" s="3" t="s">
        <v>256</v>
      </c>
      <c r="E9" s="114">
        <v>90000</v>
      </c>
    </row>
    <row r="10" spans="1:12" x14ac:dyDescent="0.25">
      <c r="B10" s="3" t="s">
        <v>257</v>
      </c>
      <c r="E10" s="114">
        <v>20</v>
      </c>
    </row>
    <row r="11" spans="1:12" x14ac:dyDescent="0.25">
      <c r="B11" s="3" t="s">
        <v>258</v>
      </c>
      <c r="E11" s="161">
        <v>0.08</v>
      </c>
    </row>
    <row r="13" spans="1:12" ht="31.5" customHeight="1" x14ac:dyDescent="0.25">
      <c r="B13" s="164" t="s">
        <v>165</v>
      </c>
      <c r="C13" s="164"/>
      <c r="D13" s="164"/>
      <c r="E13" s="164"/>
      <c r="F13" s="164"/>
      <c r="G13" s="164"/>
      <c r="H13" s="164"/>
      <c r="I13" s="164"/>
      <c r="J13" s="164"/>
      <c r="K13" s="164"/>
    </row>
    <row r="15" spans="1:12" ht="31.5" customHeight="1" x14ac:dyDescent="0.25">
      <c r="A15" s="107" t="s">
        <v>166</v>
      </c>
      <c r="B15" s="164" t="s">
        <v>167</v>
      </c>
      <c r="C15" s="164"/>
      <c r="D15" s="164"/>
      <c r="E15" s="164"/>
      <c r="F15" s="164"/>
      <c r="G15" s="164"/>
      <c r="H15" s="164"/>
      <c r="I15" s="164"/>
      <c r="J15" s="164"/>
      <c r="K15" s="164"/>
    </row>
    <row r="17" spans="1:11" ht="31.5" customHeight="1" x14ac:dyDescent="0.25">
      <c r="A17" s="108" t="s">
        <v>33</v>
      </c>
      <c r="B17" s="164" t="s">
        <v>279</v>
      </c>
      <c r="C17" s="164"/>
      <c r="D17" s="164"/>
      <c r="E17" s="164"/>
      <c r="F17" s="164"/>
      <c r="G17" s="164"/>
      <c r="H17" s="164"/>
      <c r="I17" s="164"/>
      <c r="J17" s="164"/>
      <c r="K17" s="164"/>
    </row>
    <row r="18" spans="1:11" x14ac:dyDescent="0.25">
      <c r="A18" s="108"/>
    </row>
    <row r="19" spans="1:11" ht="47.25" customHeight="1" x14ac:dyDescent="0.25">
      <c r="A19" s="108" t="s">
        <v>168</v>
      </c>
      <c r="B19" s="164" t="s">
        <v>169</v>
      </c>
      <c r="C19" s="164"/>
      <c r="D19" s="164"/>
      <c r="E19" s="164"/>
      <c r="F19" s="164"/>
      <c r="G19" s="164"/>
      <c r="H19" s="164"/>
      <c r="I19" s="164"/>
      <c r="J19" s="164"/>
      <c r="K19" s="164"/>
    </row>
    <row r="21" spans="1:11" x14ac:dyDescent="0.25">
      <c r="B21" s="3" t="s">
        <v>259</v>
      </c>
      <c r="E21" s="114">
        <v>1500</v>
      </c>
    </row>
    <row r="22" spans="1:11" x14ac:dyDescent="0.25">
      <c r="B22" s="3" t="s">
        <v>260</v>
      </c>
      <c r="E22" s="113">
        <v>20</v>
      </c>
    </row>
    <row r="23" spans="1:11" x14ac:dyDescent="0.25">
      <c r="B23" s="3" t="s">
        <v>261</v>
      </c>
      <c r="E23" s="114">
        <v>25000</v>
      </c>
    </row>
  </sheetData>
  <mergeCells count="7">
    <mergeCell ref="B2:C2"/>
    <mergeCell ref="B19:K19"/>
    <mergeCell ref="B4:K4"/>
    <mergeCell ref="B6:K6"/>
    <mergeCell ref="B13:K13"/>
    <mergeCell ref="B15:K15"/>
    <mergeCell ref="B17:K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K21"/>
  <sheetViews>
    <sheetView workbookViewId="0"/>
  </sheetViews>
  <sheetFormatPr defaultColWidth="9.140625" defaultRowHeight="15.75" x14ac:dyDescent="0.25"/>
  <cols>
    <col min="1" max="1" width="4.7109375" style="108" customWidth="1"/>
    <col min="2" max="26" width="14.7109375" style="3" customWidth="1"/>
    <col min="27" max="64" width="10.7109375" style="3" customWidth="1"/>
    <col min="65" max="16384" width="9.140625" style="3"/>
  </cols>
  <sheetData>
    <row r="1" spans="1:11" ht="16.5" thickBot="1" x14ac:dyDescent="0.3"/>
    <row r="2" spans="1:11" ht="21.75" thickBot="1" x14ac:dyDescent="0.4">
      <c r="A2" s="109"/>
      <c r="B2" s="182" t="s">
        <v>183</v>
      </c>
      <c r="C2" s="183"/>
      <c r="D2" s="2"/>
      <c r="E2" s="2"/>
      <c r="F2" s="2"/>
      <c r="G2" s="2"/>
      <c r="H2" s="2"/>
      <c r="I2" s="2"/>
    </row>
    <row r="4" spans="1:11" ht="31.5" customHeight="1" x14ac:dyDescent="0.25">
      <c r="A4" s="107"/>
      <c r="B4" s="164" t="s">
        <v>170</v>
      </c>
      <c r="C4" s="164"/>
      <c r="D4" s="164"/>
      <c r="E4" s="164"/>
      <c r="F4" s="164"/>
      <c r="G4" s="164"/>
      <c r="H4" s="164"/>
      <c r="I4" s="164"/>
      <c r="J4" s="164"/>
      <c r="K4" s="164"/>
    </row>
    <row r="6" spans="1:11" x14ac:dyDescent="0.25">
      <c r="B6" s="3" t="s">
        <v>262</v>
      </c>
      <c r="D6" s="162"/>
    </row>
    <row r="8" spans="1:11" x14ac:dyDescent="0.25">
      <c r="A8" s="108" t="s">
        <v>32</v>
      </c>
      <c r="B8" s="164" t="s">
        <v>171</v>
      </c>
      <c r="C8" s="164"/>
      <c r="D8" s="164"/>
      <c r="E8" s="164"/>
      <c r="F8" s="164"/>
      <c r="G8" s="164"/>
      <c r="H8" s="164"/>
      <c r="I8" s="164"/>
      <c r="J8" s="164"/>
      <c r="K8" s="164"/>
    </row>
    <row r="10" spans="1:11" x14ac:dyDescent="0.25">
      <c r="B10" s="3" t="s">
        <v>263</v>
      </c>
      <c r="D10" s="162"/>
    </row>
    <row r="12" spans="1:11" x14ac:dyDescent="0.25">
      <c r="A12" s="108" t="s">
        <v>33</v>
      </c>
      <c r="B12" s="164" t="s">
        <v>172</v>
      </c>
      <c r="C12" s="164"/>
      <c r="D12" s="164"/>
      <c r="E12" s="164"/>
      <c r="F12" s="164"/>
      <c r="G12" s="164"/>
      <c r="H12" s="164"/>
      <c r="I12" s="164"/>
      <c r="J12" s="164"/>
      <c r="K12" s="164"/>
    </row>
    <row r="14" spans="1:11" x14ac:dyDescent="0.25">
      <c r="B14" s="3" t="s">
        <v>264</v>
      </c>
      <c r="D14" s="162"/>
    </row>
    <row r="16" spans="1:11" ht="31.5" customHeight="1" x14ac:dyDescent="0.25">
      <c r="A16" s="108" t="s">
        <v>168</v>
      </c>
      <c r="B16" s="164" t="s">
        <v>173</v>
      </c>
      <c r="C16" s="164"/>
      <c r="D16" s="164"/>
      <c r="E16" s="164"/>
      <c r="F16" s="164"/>
      <c r="G16" s="164"/>
      <c r="H16" s="164"/>
      <c r="I16" s="164"/>
      <c r="J16" s="164"/>
      <c r="K16" s="164"/>
    </row>
    <row r="18" spans="2:5" x14ac:dyDescent="0.25">
      <c r="B18" s="3" t="s">
        <v>265</v>
      </c>
      <c r="E18" s="162"/>
    </row>
    <row r="19" spans="2:5" x14ac:dyDescent="0.25">
      <c r="B19" s="3" t="s">
        <v>266</v>
      </c>
      <c r="E19" s="162"/>
    </row>
    <row r="21" spans="2:5" x14ac:dyDescent="0.25">
      <c r="B21" s="3" t="s">
        <v>267</v>
      </c>
      <c r="E21" s="162"/>
    </row>
  </sheetData>
  <mergeCells count="5">
    <mergeCell ref="B4:K4"/>
    <mergeCell ref="B8:K8"/>
    <mergeCell ref="B12:K12"/>
    <mergeCell ref="B16:K16"/>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22</vt:i4>
      </vt:variant>
    </vt:vector>
  </HeadingPairs>
  <TitlesOfParts>
    <vt:vector size="30" baseType="lpstr">
      <vt:lpstr>Chapter 4</vt:lpstr>
      <vt:lpstr>Section 4.2</vt:lpstr>
      <vt:lpstr>Section 4.3</vt:lpstr>
      <vt:lpstr>Section 4.4</vt:lpstr>
      <vt:lpstr>Section 4.5</vt:lpstr>
      <vt:lpstr>Loan Amortization Schedule </vt:lpstr>
      <vt:lpstr>Master It!</vt:lpstr>
      <vt:lpstr>Solution</vt:lpstr>
      <vt:lpstr>Beg_Bal</vt:lpstr>
      <vt:lpstr>'Loan Amortization Schedule '!Cum_Int</vt:lpstr>
      <vt:lpstr>'Loan Amortization Schedule '!Data</vt:lpstr>
      <vt:lpstr>End_Bal</vt:lpstr>
      <vt:lpstr>Extra_Pay</vt:lpstr>
      <vt:lpstr>Full_Print</vt:lpstr>
      <vt:lpstr>Int</vt:lpstr>
      <vt:lpstr>Interest_Rate</vt:lpstr>
      <vt:lpstr>Loan_Amount</vt:lpstr>
      <vt:lpstr>Loan_Start</vt:lpstr>
      <vt:lpstr>Loan_Years</vt:lpstr>
      <vt:lpstr>Num_Pmt_Per_Year</vt:lpstr>
      <vt:lpstr>'Loan Amortization Schedule '!Pay_Date</vt:lpstr>
      <vt:lpstr>Pay_Num</vt:lpstr>
      <vt:lpstr>Princ</vt:lpstr>
      <vt:lpstr>'Loan Amortization Schedule '!Print_Titles</vt:lpstr>
      <vt:lpstr>Sched_Pay</vt:lpstr>
      <vt:lpstr>Scheduled_Extra_Payments</vt:lpstr>
      <vt:lpstr>'Loan Amortization Schedule '!Scheduled_Interest_Rate</vt:lpstr>
      <vt:lpstr>Scheduled_Monthly_Payment</vt:lpstr>
      <vt:lpstr>'Loan Amortization Schedule '!Total_Interest</vt:lpstr>
      <vt:lpstr>Total_Pay</vt:lpstr>
    </vt:vector>
  </TitlesOfParts>
  <Company>Belmont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Smolira</dc:creator>
  <cp:lastModifiedBy>Reese, William A</cp:lastModifiedBy>
  <cp:lastPrinted>2009-02-05T18:46:08Z</cp:lastPrinted>
  <dcterms:created xsi:type="dcterms:W3CDTF">2008-02-06T23:47:18Z</dcterms:created>
  <dcterms:modified xsi:type="dcterms:W3CDTF">2022-04-14T20:14:32Z</dcterms:modified>
</cp:coreProperties>
</file>