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-60" yWindow="150" windowWidth="12000" windowHeight="7245"/>
  </bookViews>
  <sheets>
    <sheet name="Chapter 6" sheetId="27" r:id="rId1"/>
    <sheet name="#1" sheetId="39" r:id="rId2"/>
    <sheet name="#2" sheetId="40" r:id="rId3"/>
    <sheet name="#3" sheetId="13" r:id="rId4"/>
    <sheet name="#4" sheetId="15" r:id="rId5"/>
    <sheet name="#5" sheetId="16" r:id="rId6"/>
    <sheet name="#6" sheetId="41" r:id="rId7"/>
    <sheet name="#7" sheetId="17" r:id="rId8"/>
    <sheet name="#8" sheetId="42" r:id="rId9"/>
    <sheet name="#9" sheetId="44" r:id="rId10"/>
    <sheet name="#10" sheetId="21" r:id="rId11"/>
    <sheet name="#11" sheetId="23" r:id="rId12"/>
    <sheet name="#12" sheetId="24" r:id="rId13"/>
    <sheet name="#13" sheetId="25" r:id="rId14"/>
    <sheet name="#14" sheetId="36" r:id="rId15"/>
    <sheet name="#15" sheetId="45" r:id="rId16"/>
    <sheet name="#16" sheetId="46" r:id="rId17"/>
    <sheet name="#17" sheetId="47" r:id="rId18"/>
    <sheet name="#18" sheetId="48" r:id="rId19"/>
    <sheet name="#19" sheetId="49" r:id="rId20"/>
    <sheet name="#20" sheetId="52" r:id="rId21"/>
    <sheet name="#21" sheetId="67" r:id="rId22"/>
    <sheet name="#22" sheetId="69" r:id="rId23"/>
    <sheet name="#23" sheetId="54" r:id="rId24"/>
    <sheet name="#24" sheetId="68" r:id="rId25"/>
    <sheet name="#25" sheetId="57" r:id="rId26"/>
    <sheet name="#26" sheetId="58" r:id="rId27"/>
    <sheet name="#27" sheetId="59" r:id="rId28"/>
    <sheet name="#28" sheetId="32" r:id="rId29"/>
    <sheet name="#29" sheetId="34" r:id="rId30"/>
    <sheet name="#30" sheetId="60" r:id="rId31"/>
    <sheet name="#31" sheetId="38" r:id="rId32"/>
    <sheet name="#32" sheetId="33" r:id="rId33"/>
    <sheet name="#33" sheetId="35" r:id="rId34"/>
    <sheet name="#34" sheetId="64" r:id="rId35"/>
    <sheet name="#35" sheetId="62" r:id="rId36"/>
    <sheet name="#36" sheetId="63" r:id="rId37"/>
    <sheet name="#37" sheetId="65" r:id="rId38"/>
    <sheet name="#38" sheetId="61" r:id="rId39"/>
  </sheets>
  <calcPr calcId="152511"/>
</workbook>
</file>

<file path=xl/calcChain.xml><?xml version="1.0" encoding="utf-8"?>
<calcChain xmlns="http://schemas.openxmlformats.org/spreadsheetml/2006/main">
  <c r="D41" i="69" l="1"/>
  <c r="D21" i="69" l="1"/>
  <c r="D58" i="69" s="1"/>
  <c r="E24" i="69"/>
  <c r="F24" i="69" s="1"/>
  <c r="G24" i="69" s="1"/>
  <c r="E25" i="69"/>
  <c r="F25" i="69" s="1"/>
  <c r="G25" i="69" s="1"/>
  <c r="H25" i="69" s="1"/>
  <c r="I25" i="69" s="1"/>
  <c r="J25" i="69" s="1"/>
  <c r="K25" i="69" s="1"/>
  <c r="E26" i="69"/>
  <c r="F26" i="69" s="1"/>
  <c r="D32" i="69"/>
  <c r="D34" i="69" s="1"/>
  <c r="D39" i="69"/>
  <c r="E44" i="69" s="1"/>
  <c r="D40" i="69"/>
  <c r="E45" i="69" s="1"/>
  <c r="D52" i="69"/>
  <c r="D54" i="69" s="1"/>
  <c r="D61" i="69"/>
  <c r="D62" i="69" s="1"/>
  <c r="G44" i="69" l="1"/>
  <c r="K44" i="69"/>
  <c r="F44" i="69"/>
  <c r="J44" i="69"/>
  <c r="H44" i="69"/>
  <c r="E27" i="69"/>
  <c r="F46" i="69"/>
  <c r="G26" i="69"/>
  <c r="G27" i="69" s="1"/>
  <c r="E46" i="69"/>
  <c r="E47" i="69" s="1"/>
  <c r="E28" i="69"/>
  <c r="E29" i="69" s="1"/>
  <c r="E30" i="69" s="1"/>
  <c r="E34" i="69" s="1"/>
  <c r="F45" i="69"/>
  <c r="H24" i="69"/>
  <c r="D64" i="69"/>
  <c r="D59" i="69"/>
  <c r="I44" i="69"/>
  <c r="F27" i="69"/>
  <c r="D35" i="52"/>
  <c r="H63" i="61"/>
  <c r="G63" i="61"/>
  <c r="F63" i="61"/>
  <c r="D39" i="23"/>
  <c r="D14" i="65"/>
  <c r="D11" i="35"/>
  <c r="D12" i="35" s="1"/>
  <c r="D25" i="34"/>
  <c r="D24" i="34"/>
  <c r="D23" i="34"/>
  <c r="D22" i="34"/>
  <c r="D11" i="57"/>
  <c r="H49" i="68"/>
  <c r="D49" i="68"/>
  <c r="H48" i="68"/>
  <c r="D48" i="68"/>
  <c r="D47" i="68"/>
  <c r="H41" i="68"/>
  <c r="G41" i="68"/>
  <c r="F41" i="68"/>
  <c r="E41" i="68"/>
  <c r="H39" i="68"/>
  <c r="G39" i="68"/>
  <c r="F39" i="68"/>
  <c r="E39" i="68"/>
  <c r="H38" i="68"/>
  <c r="G38" i="68"/>
  <c r="F38" i="68"/>
  <c r="E38" i="68"/>
  <c r="D34" i="68"/>
  <c r="D33" i="68"/>
  <c r="D35" i="68" l="1"/>
  <c r="H47" i="68" s="1"/>
  <c r="D66" i="69"/>
  <c r="G46" i="69"/>
  <c r="H26" i="69"/>
  <c r="F28" i="69"/>
  <c r="F29" i="69" s="1"/>
  <c r="F30" i="69" s="1"/>
  <c r="F34" i="69" s="1"/>
  <c r="E48" i="69"/>
  <c r="E49" i="69" s="1"/>
  <c r="E50" i="69" s="1"/>
  <c r="E54" i="69" s="1"/>
  <c r="G28" i="69"/>
  <c r="G29" i="69" s="1"/>
  <c r="G30" i="69" s="1"/>
  <c r="G34" i="69" s="1"/>
  <c r="G45" i="69"/>
  <c r="F47" i="69"/>
  <c r="I24" i="69"/>
  <c r="H27" i="69"/>
  <c r="D51" i="68"/>
  <c r="E40" i="68"/>
  <c r="E42" i="68" s="1"/>
  <c r="G40" i="68"/>
  <c r="G42" i="68" s="1"/>
  <c r="F40" i="68"/>
  <c r="F42" i="68" s="1"/>
  <c r="H40" i="68"/>
  <c r="H42" i="68" s="1"/>
  <c r="H46" i="69" l="1"/>
  <c r="I26" i="69"/>
  <c r="H45" i="69"/>
  <c r="G47" i="69"/>
  <c r="H28" i="69"/>
  <c r="H29" i="69" s="1"/>
  <c r="H30" i="69" s="1"/>
  <c r="H34" i="69" s="1"/>
  <c r="J24" i="69"/>
  <c r="I27" i="69"/>
  <c r="F48" i="69"/>
  <c r="F49" i="69" s="1"/>
  <c r="F50" i="69" s="1"/>
  <c r="F54" i="69" s="1"/>
  <c r="F43" i="68"/>
  <c r="F44" i="68" s="1"/>
  <c r="F45" i="68" s="1"/>
  <c r="F51" i="68" s="1"/>
  <c r="H43" i="68"/>
  <c r="H44" i="68" s="1"/>
  <c r="H45" i="68" s="1"/>
  <c r="H51" i="68" s="1"/>
  <c r="G43" i="68"/>
  <c r="G44" i="68" s="1"/>
  <c r="G45" i="68" s="1"/>
  <c r="G51" i="68" s="1"/>
  <c r="E43" i="68"/>
  <c r="E44" i="68" s="1"/>
  <c r="E45" i="68" s="1"/>
  <c r="E51" i="68" s="1"/>
  <c r="J26" i="69" l="1"/>
  <c r="I46" i="69"/>
  <c r="I28" i="69"/>
  <c r="I29" i="69" s="1"/>
  <c r="I30" i="69" s="1"/>
  <c r="I34" i="69" s="1"/>
  <c r="K24" i="69"/>
  <c r="J27" i="69"/>
  <c r="G48" i="69"/>
  <c r="G49" i="69" s="1"/>
  <c r="G50" i="69" s="1"/>
  <c r="G54" i="69" s="1"/>
  <c r="I45" i="69"/>
  <c r="H47" i="69"/>
  <c r="D53" i="68"/>
  <c r="K26" i="69" l="1"/>
  <c r="K46" i="69" s="1"/>
  <c r="J46" i="69"/>
  <c r="J45" i="69"/>
  <c r="I47" i="69"/>
  <c r="H48" i="69"/>
  <c r="H49" i="69" s="1"/>
  <c r="H50" i="69" s="1"/>
  <c r="H54" i="69" s="1"/>
  <c r="J28" i="69"/>
  <c r="J29" i="69" s="1"/>
  <c r="J30" i="69" s="1"/>
  <c r="J34" i="69" s="1"/>
  <c r="D19" i="49"/>
  <c r="D24" i="41"/>
  <c r="H11" i="40"/>
  <c r="H23" i="40" s="1"/>
  <c r="G11" i="40"/>
  <c r="F11" i="40"/>
  <c r="F23" i="40" s="1"/>
  <c r="E11" i="40"/>
  <c r="E23" i="40" s="1"/>
  <c r="D23" i="67"/>
  <c r="H23" i="67"/>
  <c r="D24" i="67"/>
  <c r="H24" i="67"/>
  <c r="F25" i="67"/>
  <c r="H25" i="67"/>
  <c r="H26" i="67"/>
  <c r="F26" i="67" s="1"/>
  <c r="D30" i="67"/>
  <c r="H30" i="67"/>
  <c r="D31" i="67"/>
  <c r="F31" i="67"/>
  <c r="F32" i="67" s="1"/>
  <c r="F33" i="67" s="1"/>
  <c r="F34" i="67" s="1"/>
  <c r="F35" i="67" s="1"/>
  <c r="H31" i="67"/>
  <c r="F35" i="57"/>
  <c r="H35" i="57" s="1"/>
  <c r="F34" i="57"/>
  <c r="H34" i="57" s="1"/>
  <c r="D47" i="57"/>
  <c r="H47" i="57" s="1"/>
  <c r="D46" i="57"/>
  <c r="H46" i="57" s="1"/>
  <c r="F47" i="57"/>
  <c r="H49" i="57" s="1"/>
  <c r="F46" i="57"/>
  <c r="H48" i="57" s="1"/>
  <c r="D38" i="57"/>
  <c r="F38" i="57"/>
  <c r="D39" i="57"/>
  <c r="F39" i="57"/>
  <c r="E43" i="61"/>
  <c r="D47" i="61" s="1"/>
  <c r="H51" i="61"/>
  <c r="H56" i="61" s="1"/>
  <c r="D52" i="61"/>
  <c r="E52" i="61" s="1"/>
  <c r="G51" i="61"/>
  <c r="G56" i="61" s="1"/>
  <c r="F51" i="61"/>
  <c r="F56" i="61" s="1"/>
  <c r="E51" i="61"/>
  <c r="E56" i="61" s="1"/>
  <c r="D51" i="61"/>
  <c r="D56" i="61" s="1"/>
  <c r="D49" i="65"/>
  <c r="D50" i="65"/>
  <c r="F50" i="65" s="1"/>
  <c r="G50" i="65" s="1"/>
  <c r="D51" i="65"/>
  <c r="F51" i="65" s="1"/>
  <c r="G51" i="65" s="1"/>
  <c r="D44" i="65"/>
  <c r="D45" i="65" s="1"/>
  <c r="D46" i="65" s="1"/>
  <c r="D33" i="65"/>
  <c r="F33" i="65" s="1"/>
  <c r="G33" i="65" s="1"/>
  <c r="E23" i="59"/>
  <c r="F23" i="59" s="1"/>
  <c r="E28" i="59"/>
  <c r="F28" i="59" s="1"/>
  <c r="G28" i="59" s="1"/>
  <c r="H28" i="59" s="1"/>
  <c r="I28" i="59" s="1"/>
  <c r="E24" i="59"/>
  <c r="F24" i="59" s="1"/>
  <c r="E30" i="59"/>
  <c r="F30" i="59" s="1"/>
  <c r="G30" i="59" s="1"/>
  <c r="H30" i="59" s="1"/>
  <c r="I30" i="59" s="1"/>
  <c r="E29" i="59"/>
  <c r="D45" i="59" s="1"/>
  <c r="D50" i="59" s="1"/>
  <c r="D46" i="59"/>
  <c r="D51" i="59" s="1"/>
  <c r="D37" i="59"/>
  <c r="D36" i="59"/>
  <c r="I37" i="59"/>
  <c r="E22" i="54"/>
  <c r="F22" i="54" s="1"/>
  <c r="G22" i="54" s="1"/>
  <c r="H22" i="54" s="1"/>
  <c r="I22" i="54" s="1"/>
  <c r="I26" i="54"/>
  <c r="E28" i="54"/>
  <c r="F28" i="54" s="1"/>
  <c r="G28" i="54" s="1"/>
  <c r="H28" i="54" s="1"/>
  <c r="I28" i="54" s="1"/>
  <c r="H26" i="54"/>
  <c r="G26" i="54"/>
  <c r="F26" i="54"/>
  <c r="E26" i="54"/>
  <c r="D44" i="54" s="1"/>
  <c r="D34" i="54"/>
  <c r="D35" i="54"/>
  <c r="I35" i="54"/>
  <c r="D31" i="65"/>
  <c r="F31" i="65" s="1"/>
  <c r="D32" i="65"/>
  <c r="F32" i="65" s="1"/>
  <c r="G32" i="65" s="1"/>
  <c r="D33" i="64"/>
  <c r="E33" i="64" s="1"/>
  <c r="D34" i="64"/>
  <c r="E34" i="64" s="1"/>
  <c r="D35" i="64"/>
  <c r="E35" i="64" s="1"/>
  <c r="D36" i="64"/>
  <c r="E36" i="64"/>
  <c r="D45" i="64"/>
  <c r="E45" i="64" s="1"/>
  <c r="D46" i="64"/>
  <c r="E46" i="64" s="1"/>
  <c r="D47" i="64"/>
  <c r="E47" i="64" s="1"/>
  <c r="D48" i="64"/>
  <c r="E48" i="64"/>
  <c r="D26" i="64"/>
  <c r="D27" i="64" s="1"/>
  <c r="D28" i="64" s="1"/>
  <c r="D30" i="64" s="1"/>
  <c r="H33" i="63"/>
  <c r="E28" i="63"/>
  <c r="F28" i="63" s="1"/>
  <c r="G28" i="63" s="1"/>
  <c r="E29" i="63"/>
  <c r="F29" i="63" s="1"/>
  <c r="H36" i="63"/>
  <c r="G33" i="63"/>
  <c r="G36" i="63"/>
  <c r="F33" i="63"/>
  <c r="F36" i="63"/>
  <c r="E33" i="63"/>
  <c r="E34" i="63"/>
  <c r="E36" i="63"/>
  <c r="D42" i="63"/>
  <c r="D44" i="63" s="1"/>
  <c r="E30" i="63"/>
  <c r="F30" i="63" s="1"/>
  <c r="G30" i="63" s="1"/>
  <c r="H30" i="63" s="1"/>
  <c r="D23" i="62"/>
  <c r="D29" i="62" s="1"/>
  <c r="D35" i="62" s="1"/>
  <c r="D24" i="62"/>
  <c r="D30" i="62" s="1"/>
  <c r="D36" i="62" s="1"/>
  <c r="D25" i="62"/>
  <c r="D31" i="62" s="1"/>
  <c r="D37" i="62" s="1"/>
  <c r="D26" i="62"/>
  <c r="D62" i="61"/>
  <c r="E62" i="61" s="1"/>
  <c r="F62" i="61" s="1"/>
  <c r="G62" i="61" s="1"/>
  <c r="H62" i="61" s="1"/>
  <c r="D67" i="61"/>
  <c r="E67" i="61"/>
  <c r="D40" i="61"/>
  <c r="D41" i="61" s="1"/>
  <c r="E76" i="61" s="1"/>
  <c r="F67" i="61"/>
  <c r="G67" i="61"/>
  <c r="H67" i="61"/>
  <c r="D46" i="61"/>
  <c r="D17" i="38"/>
  <c r="I30" i="38" s="1"/>
  <c r="I34" i="38" s="1"/>
  <c r="D15" i="38"/>
  <c r="D14" i="38"/>
  <c r="D13" i="38"/>
  <c r="I39" i="38" s="1"/>
  <c r="D12" i="38"/>
  <c r="D10" i="38"/>
  <c r="H52" i="38" s="1"/>
  <c r="D9" i="38"/>
  <c r="D8" i="38"/>
  <c r="D7" i="38"/>
  <c r="I73" i="38" s="1"/>
  <c r="D23" i="60"/>
  <c r="D24" i="60"/>
  <c r="D25" i="60"/>
  <c r="D23" i="58"/>
  <c r="D26" i="58" s="1"/>
  <c r="D28" i="58" s="1"/>
  <c r="D33" i="57"/>
  <c r="D36" i="57" s="1"/>
  <c r="H33" i="57"/>
  <c r="D26" i="52"/>
  <c r="D27" i="52"/>
  <c r="D34" i="52"/>
  <c r="D21" i="52"/>
  <c r="D22" i="52"/>
  <c r="D20" i="49"/>
  <c r="D22" i="49"/>
  <c r="D15" i="48"/>
  <c r="E25" i="47"/>
  <c r="F25" i="47" s="1"/>
  <c r="G25" i="47" s="1"/>
  <c r="E26" i="47"/>
  <c r="F26" i="47" s="1"/>
  <c r="I27" i="47"/>
  <c r="D20" i="47"/>
  <c r="D21" i="47"/>
  <c r="D22" i="47" s="1"/>
  <c r="I33" i="47" s="1"/>
  <c r="I34" i="47"/>
  <c r="H27" i="47"/>
  <c r="G27" i="47"/>
  <c r="F27" i="47"/>
  <c r="E27" i="47"/>
  <c r="D33" i="47"/>
  <c r="D35" i="47" s="1"/>
  <c r="D34" i="47"/>
  <c r="D19" i="46"/>
  <c r="D22" i="46" s="1"/>
  <c r="D20" i="46"/>
  <c r="D23" i="46" s="1"/>
  <c r="D25" i="45"/>
  <c r="D21" i="45"/>
  <c r="D23" i="45"/>
  <c r="D25" i="44"/>
  <c r="D26" i="44" s="1"/>
  <c r="D27" i="44"/>
  <c r="D21" i="44"/>
  <c r="D22" i="44"/>
  <c r="D19" i="42"/>
  <c r="D21" i="42" s="1"/>
  <c r="D19" i="41"/>
  <c r="D21" i="41" s="1"/>
  <c r="D26" i="41" s="1"/>
  <c r="D20" i="41"/>
  <c r="D19" i="13"/>
  <c r="D14" i="15" s="1"/>
  <c r="D13" i="15"/>
  <c r="D11" i="15"/>
  <c r="D11" i="16" s="1"/>
  <c r="D10" i="15"/>
  <c r="D10" i="16" s="1"/>
  <c r="D9" i="15"/>
  <c r="D9" i="16" s="1"/>
  <c r="D8" i="15"/>
  <c r="D8" i="16" s="1"/>
  <c r="D7" i="15"/>
  <c r="D7" i="16" s="1"/>
  <c r="D29" i="40"/>
  <c r="D30" i="40"/>
  <c r="E21" i="40"/>
  <c r="E22" i="40"/>
  <c r="E30" i="40"/>
  <c r="F21" i="40"/>
  <c r="F22" i="40"/>
  <c r="F30" i="40"/>
  <c r="G21" i="40"/>
  <c r="G22" i="40"/>
  <c r="G23" i="40"/>
  <c r="G30" i="40"/>
  <c r="H21" i="40"/>
  <c r="H22" i="40"/>
  <c r="D20" i="39"/>
  <c r="D21" i="39"/>
  <c r="D22" i="39"/>
  <c r="D24" i="38"/>
  <c r="I40" i="38" s="1"/>
  <c r="D39" i="38"/>
  <c r="D34" i="33"/>
  <c r="D27" i="33"/>
  <c r="D28" i="33"/>
  <c r="E27" i="33"/>
  <c r="E28" i="33"/>
  <c r="F27" i="33"/>
  <c r="F28" i="33"/>
  <c r="G27" i="33"/>
  <c r="G28" i="33"/>
  <c r="D35" i="33"/>
  <c r="F30" i="38"/>
  <c r="F34" i="38" s="1"/>
  <c r="E53" i="38"/>
  <c r="E57" i="38" s="1"/>
  <c r="D62" i="38"/>
  <c r="I62" i="38"/>
  <c r="D85" i="38"/>
  <c r="I85" i="38" s="1"/>
  <c r="D28" i="36"/>
  <c r="D29" i="36"/>
  <c r="D30" i="36"/>
  <c r="D34" i="36" s="1"/>
  <c r="F28" i="36"/>
  <c r="F29" i="36"/>
  <c r="F30" i="36"/>
  <c r="F40" i="35"/>
  <c r="G40" i="35" s="1"/>
  <c r="G42" i="35"/>
  <c r="D44" i="35"/>
  <c r="D45" i="35" s="1"/>
  <c r="F42" i="35"/>
  <c r="F45" i="35" s="1"/>
  <c r="F52" i="35" s="1"/>
  <c r="H52" i="35"/>
  <c r="H28" i="35"/>
  <c r="H27" i="35"/>
  <c r="I52" i="35"/>
  <c r="I28" i="35"/>
  <c r="I27" i="35"/>
  <c r="J52" i="35"/>
  <c r="J28" i="35"/>
  <c r="J27" i="35"/>
  <c r="J25" i="35"/>
  <c r="J32" i="35" s="1"/>
  <c r="D51" i="35"/>
  <c r="F28" i="35"/>
  <c r="F27" i="35"/>
  <c r="G28" i="35"/>
  <c r="G27" i="35"/>
  <c r="D32" i="35"/>
  <c r="D33" i="35" s="1"/>
  <c r="I25" i="35"/>
  <c r="H25" i="35"/>
  <c r="G25" i="35"/>
  <c r="F25" i="35"/>
  <c r="D25" i="35"/>
  <c r="D26" i="34"/>
  <c r="D27" i="34"/>
  <c r="D28" i="34"/>
  <c r="D29" i="34"/>
  <c r="D30" i="34"/>
  <c r="D21" i="34"/>
  <c r="D47" i="32"/>
  <c r="E35" i="32"/>
  <c r="F35" i="32"/>
  <c r="G35" i="32"/>
  <c r="F47" i="32" s="1"/>
  <c r="H35" i="32"/>
  <c r="I35" i="32"/>
  <c r="I36" i="32"/>
  <c r="I37" i="32"/>
  <c r="I38" i="32"/>
  <c r="I42" i="32" s="1"/>
  <c r="H36" i="32"/>
  <c r="H37" i="32"/>
  <c r="H38" i="32"/>
  <c r="G36" i="32"/>
  <c r="G37" i="32"/>
  <c r="G38" i="32"/>
  <c r="G42" i="32" s="1"/>
  <c r="F36" i="32"/>
  <c r="F37" i="32"/>
  <c r="F38" i="32"/>
  <c r="F42" i="32" s="1"/>
  <c r="E36" i="32"/>
  <c r="E37" i="32"/>
  <c r="E38" i="32"/>
  <c r="E33" i="32" s="1"/>
  <c r="D48" i="32"/>
  <c r="D49" i="32" s="1"/>
  <c r="D24" i="23"/>
  <c r="D25" i="23"/>
  <c r="D26" i="23"/>
  <c r="D27" i="23"/>
  <c r="D14" i="25"/>
  <c r="D9" i="25"/>
  <c r="D25" i="24"/>
  <c r="D26" i="24" s="1"/>
  <c r="D12" i="25"/>
  <c r="D28" i="24"/>
  <c r="D29" i="24" s="1"/>
  <c r="D11" i="25" s="1"/>
  <c r="D28" i="21"/>
  <c r="D26" i="21"/>
  <c r="D32" i="21"/>
  <c r="D33" i="21" s="1"/>
  <c r="D34" i="21" s="1"/>
  <c r="D13" i="16"/>
  <c r="D12" i="16"/>
  <c r="D23" i="15"/>
  <c r="D21" i="17"/>
  <c r="D23" i="17" s="1"/>
  <c r="D22" i="17"/>
  <c r="D23" i="25" l="1"/>
  <c r="I29" i="35"/>
  <c r="I33" i="35" s="1"/>
  <c r="I51" i="35" s="1"/>
  <c r="I53" i="35" s="1"/>
  <c r="I86" i="38"/>
  <c r="I63" i="38"/>
  <c r="F53" i="38"/>
  <c r="F57" i="38" s="1"/>
  <c r="H30" i="38"/>
  <c r="H34" i="38" s="1"/>
  <c r="H32" i="67"/>
  <c r="H33" i="67" s="1"/>
  <c r="H34" i="67" s="1"/>
  <c r="H35" i="67" s="1"/>
  <c r="H76" i="38"/>
  <c r="H80" i="38" s="1"/>
  <c r="G30" i="38"/>
  <c r="G34" i="38" s="1"/>
  <c r="G76" i="38"/>
  <c r="G80" i="38" s="1"/>
  <c r="H53" i="38"/>
  <c r="H57" i="38" s="1"/>
  <c r="D27" i="67"/>
  <c r="D38" i="67" s="1"/>
  <c r="D36" i="61"/>
  <c r="H73" i="61" s="1"/>
  <c r="G52" i="38"/>
  <c r="F76" i="38"/>
  <c r="F80" i="38" s="1"/>
  <c r="I53" i="38"/>
  <c r="I57" i="38" s="1"/>
  <c r="E30" i="38"/>
  <c r="E34" i="38" s="1"/>
  <c r="D40" i="38"/>
  <c r="H74" i="38"/>
  <c r="I28" i="38"/>
  <c r="E28" i="38"/>
  <c r="E27" i="38"/>
  <c r="H27" i="38"/>
  <c r="H73" i="38"/>
  <c r="I74" i="38"/>
  <c r="E74" i="38"/>
  <c r="F28" i="38"/>
  <c r="I27" i="38"/>
  <c r="G73" i="38"/>
  <c r="G74" i="38"/>
  <c r="H28" i="38"/>
  <c r="F27" i="38"/>
  <c r="E73" i="38"/>
  <c r="F74" i="38"/>
  <c r="G28" i="38"/>
  <c r="G27" i="38"/>
  <c r="F73" i="38"/>
  <c r="F85" i="38" s="1"/>
  <c r="E42" i="32"/>
  <c r="H39" i="32"/>
  <c r="H40" i="32" s="1"/>
  <c r="H41" i="32" s="1"/>
  <c r="E27" i="59"/>
  <c r="D44" i="59" s="1"/>
  <c r="D49" i="59" s="1"/>
  <c r="D50" i="57"/>
  <c r="K27" i="69"/>
  <c r="K28" i="69" s="1"/>
  <c r="K29" i="69" s="1"/>
  <c r="K30" i="69" s="1"/>
  <c r="K34" i="69" s="1"/>
  <c r="D36" i="69" s="1"/>
  <c r="I48" i="69"/>
  <c r="I49" i="69" s="1"/>
  <c r="I50" i="69" s="1"/>
  <c r="I54" i="69" s="1"/>
  <c r="K45" i="69"/>
  <c r="J47" i="69"/>
  <c r="H30" i="40"/>
  <c r="D25" i="16"/>
  <c r="D26" i="16"/>
  <c r="D24" i="16"/>
  <c r="F36" i="57"/>
  <c r="F29" i="38"/>
  <c r="I52" i="38"/>
  <c r="F50" i="57"/>
  <c r="E25" i="54"/>
  <c r="D42" i="54" s="1"/>
  <c r="D25" i="17"/>
  <c r="H29" i="38"/>
  <c r="G85" i="38"/>
  <c r="D26" i="60"/>
  <c r="D27" i="60" s="1"/>
  <c r="D28" i="60" s="1"/>
  <c r="D30" i="60" s="1"/>
  <c r="D32" i="62"/>
  <c r="D38" i="62" s="1"/>
  <c r="D40" i="62" s="1"/>
  <c r="D29" i="21"/>
  <c r="D30" i="21" s="1"/>
  <c r="D38" i="21" s="1"/>
  <c r="G47" i="32"/>
  <c r="D86" i="38"/>
  <c r="D87" i="38" s="1"/>
  <c r="I76" i="38"/>
  <c r="I80" i="38" s="1"/>
  <c r="E76" i="38"/>
  <c r="E80" i="38" s="1"/>
  <c r="D63" i="38"/>
  <c r="D64" i="38" s="1"/>
  <c r="G53" i="38"/>
  <c r="G57" i="38" s="1"/>
  <c r="E52" i="38"/>
  <c r="D23" i="49"/>
  <c r="D24" i="49" s="1"/>
  <c r="D48" i="61"/>
  <c r="H76" i="61" s="1"/>
  <c r="D35" i="61"/>
  <c r="D39" i="59"/>
  <c r="D40" i="57"/>
  <c r="D41" i="57" s="1"/>
  <c r="D42" i="57" s="1"/>
  <c r="D43" i="57" s="1"/>
  <c r="D52" i="57" s="1"/>
  <c r="C62" i="57" s="1"/>
  <c r="F27" i="67"/>
  <c r="F38" i="67" s="1"/>
  <c r="G45" i="35"/>
  <c r="G52" i="35" s="1"/>
  <c r="G44" i="35"/>
  <c r="D34" i="65"/>
  <c r="D35" i="65" s="1"/>
  <c r="D36" i="65" s="1"/>
  <c r="D37" i="65" s="1"/>
  <c r="D37" i="64"/>
  <c r="D38" i="64" s="1"/>
  <c r="D39" i="64" s="1"/>
  <c r="D40" i="64" s="1"/>
  <c r="G29" i="35"/>
  <c r="G33" i="35" s="1"/>
  <c r="G51" i="35" s="1"/>
  <c r="G53" i="35" s="1"/>
  <c r="F29" i="35"/>
  <c r="F33" i="35" s="1"/>
  <c r="F51" i="35" s="1"/>
  <c r="J29" i="35"/>
  <c r="H29" i="35"/>
  <c r="H33" i="35" s="1"/>
  <c r="H51" i="35" s="1"/>
  <c r="H53" i="35" s="1"/>
  <c r="F29" i="33"/>
  <c r="F30" i="33" s="1"/>
  <c r="F31" i="33" s="1"/>
  <c r="E29" i="33"/>
  <c r="E30" i="33" s="1"/>
  <c r="E31" i="33" s="1"/>
  <c r="D29" i="33"/>
  <c r="D30" i="33" s="1"/>
  <c r="D31" i="33" s="1"/>
  <c r="G29" i="33"/>
  <c r="D41" i="38"/>
  <c r="D45" i="38" s="1"/>
  <c r="D46" i="38" s="1"/>
  <c r="D47" i="38" s="1"/>
  <c r="H47" i="32"/>
  <c r="E47" i="32"/>
  <c r="H42" i="32"/>
  <c r="F33" i="32"/>
  <c r="G33" i="32" s="1"/>
  <c r="H33" i="32" s="1"/>
  <c r="I33" i="32" s="1"/>
  <c r="I48" i="32" s="1"/>
  <c r="G24" i="59"/>
  <c r="G29" i="59" s="1"/>
  <c r="F29" i="59"/>
  <c r="D47" i="59"/>
  <c r="D53" i="59" s="1"/>
  <c r="H50" i="57"/>
  <c r="H39" i="57"/>
  <c r="D37" i="54"/>
  <c r="H27" i="67"/>
  <c r="H38" i="67" s="1"/>
  <c r="D23" i="52"/>
  <c r="D29" i="23"/>
  <c r="D30" i="23" s="1"/>
  <c r="D25" i="41"/>
  <c r="D29" i="41"/>
  <c r="F24" i="16"/>
  <c r="F23" i="16"/>
  <c r="D42" i="23"/>
  <c r="D35" i="23"/>
  <c r="D40" i="23"/>
  <c r="D33" i="23"/>
  <c r="D43" i="23"/>
  <c r="D36" i="23"/>
  <c r="D41" i="23"/>
  <c r="D34" i="23"/>
  <c r="D53" i="61"/>
  <c r="D60" i="61" s="1"/>
  <c r="D52" i="65"/>
  <c r="F34" i="65"/>
  <c r="F35" i="65" s="1"/>
  <c r="F36" i="65" s="1"/>
  <c r="F37" i="65" s="1"/>
  <c r="D49" i="64"/>
  <c r="D50" i="64" s="1"/>
  <c r="D51" i="64" s="1"/>
  <c r="D52" i="64" s="1"/>
  <c r="E37" i="64"/>
  <c r="E38" i="64" s="1"/>
  <c r="E39" i="64" s="1"/>
  <c r="E40" i="64" s="1"/>
  <c r="D42" i="64" s="1"/>
  <c r="D57" i="64" s="1"/>
  <c r="E49" i="64"/>
  <c r="E50" i="64" s="1"/>
  <c r="E51" i="64" s="1"/>
  <c r="E52" i="64" s="1"/>
  <c r="F53" i="35"/>
  <c r="H85" i="38"/>
  <c r="E29" i="38"/>
  <c r="G29" i="38"/>
  <c r="I29" i="38"/>
  <c r="F52" i="38"/>
  <c r="D31" i="34"/>
  <c r="D33" i="34" s="1"/>
  <c r="F39" i="32"/>
  <c r="F40" i="32" s="1"/>
  <c r="F41" i="32" s="1"/>
  <c r="F43" i="32" s="1"/>
  <c r="F46" i="32" s="1"/>
  <c r="F49" i="32" s="1"/>
  <c r="G39" i="32"/>
  <c r="G40" i="32" s="1"/>
  <c r="G41" i="32" s="1"/>
  <c r="G43" i="32" s="1"/>
  <c r="G46" i="32" s="1"/>
  <c r="G49" i="32" s="1"/>
  <c r="E39" i="32"/>
  <c r="E40" i="32" s="1"/>
  <c r="E41" i="32" s="1"/>
  <c r="I39" i="32"/>
  <c r="I40" i="32" s="1"/>
  <c r="I41" i="32" s="1"/>
  <c r="I43" i="32" s="1"/>
  <c r="I46" i="32" s="1"/>
  <c r="E31" i="59"/>
  <c r="H38" i="57"/>
  <c r="H36" i="57"/>
  <c r="D32" i="67"/>
  <c r="D33" i="67" s="1"/>
  <c r="D34" i="67" s="1"/>
  <c r="D35" i="67" s="1"/>
  <c r="D28" i="52"/>
  <c r="D29" i="52" s="1"/>
  <c r="D30" i="52" s="1"/>
  <c r="D31" i="52" s="1"/>
  <c r="D36" i="52"/>
  <c r="E28" i="47"/>
  <c r="E29" i="47" s="1"/>
  <c r="E30" i="47" s="1"/>
  <c r="E31" i="47" s="1"/>
  <c r="E35" i="47" s="1"/>
  <c r="D25" i="46"/>
  <c r="F31" i="36"/>
  <c r="F32" i="36" s="1"/>
  <c r="F33" i="36" s="1"/>
  <c r="F34" i="36"/>
  <c r="D31" i="36"/>
  <c r="D32" i="36" s="1"/>
  <c r="D33" i="36" s="1"/>
  <c r="D35" i="36" s="1"/>
  <c r="D37" i="36" s="1"/>
  <c r="D38" i="36" s="1"/>
  <c r="D28" i="44"/>
  <c r="D29" i="44" s="1"/>
  <c r="D30" i="44" s="1"/>
  <c r="D32" i="44" s="1"/>
  <c r="D23" i="44"/>
  <c r="D35" i="44" s="1"/>
  <c r="D27" i="41"/>
  <c r="F25" i="16"/>
  <c r="D21" i="13"/>
  <c r="H24" i="40"/>
  <c r="H25" i="40" s="1"/>
  <c r="H26" i="40" s="1"/>
  <c r="H28" i="40" s="1"/>
  <c r="F24" i="40"/>
  <c r="F25" i="40" s="1"/>
  <c r="F26" i="40" s="1"/>
  <c r="F28" i="40" s="1"/>
  <c r="F31" i="40" s="1"/>
  <c r="G24" i="40"/>
  <c r="G25" i="40" s="1"/>
  <c r="G26" i="40" s="1"/>
  <c r="G28" i="40" s="1"/>
  <c r="G31" i="40" s="1"/>
  <c r="E24" i="40"/>
  <c r="E25" i="40" s="1"/>
  <c r="E26" i="40" s="1"/>
  <c r="E28" i="40" s="1"/>
  <c r="E31" i="40" s="1"/>
  <c r="D31" i="40"/>
  <c r="D23" i="39"/>
  <c r="D24" i="39" s="1"/>
  <c r="D25" i="39" s="1"/>
  <c r="D27" i="39" s="1"/>
  <c r="D29" i="39" s="1"/>
  <c r="G31" i="38"/>
  <c r="I31" i="38"/>
  <c r="D8" i="25"/>
  <c r="D21" i="25" s="1"/>
  <c r="D25" i="25" s="1"/>
  <c r="D32" i="24"/>
  <c r="G30" i="33"/>
  <c r="G31" i="33" s="1"/>
  <c r="D24" i="15"/>
  <c r="D26" i="15"/>
  <c r="D25" i="15"/>
  <c r="J33" i="35"/>
  <c r="J51" i="35" s="1"/>
  <c r="J53" i="35" s="1"/>
  <c r="H25" i="47"/>
  <c r="G29" i="63"/>
  <c r="F35" i="63"/>
  <c r="F27" i="59"/>
  <c r="F31" i="59" s="1"/>
  <c r="G23" i="59"/>
  <c r="F52" i="61"/>
  <c r="E57" i="61"/>
  <c r="E58" i="61" s="1"/>
  <c r="E61" i="61" s="1"/>
  <c r="F40" i="67"/>
  <c r="F42" i="67"/>
  <c r="F39" i="67"/>
  <c r="F41" i="67"/>
  <c r="D52" i="35"/>
  <c r="D53" i="35" s="1"/>
  <c r="D28" i="41"/>
  <c r="D31" i="41" s="1"/>
  <c r="F28" i="47"/>
  <c r="G26" i="47"/>
  <c r="H26" i="47" s="1"/>
  <c r="I26" i="47" s="1"/>
  <c r="H28" i="63"/>
  <c r="H34" i="63" s="1"/>
  <c r="G34" i="63"/>
  <c r="F27" i="54"/>
  <c r="F25" i="54"/>
  <c r="D55" i="59"/>
  <c r="D53" i="65"/>
  <c r="D54" i="65" s="1"/>
  <c r="D55" i="65" s="1"/>
  <c r="H39" i="67"/>
  <c r="H41" i="67"/>
  <c r="H40" i="67"/>
  <c r="H42" i="67"/>
  <c r="D31" i="58"/>
  <c r="D33" i="58" s="1"/>
  <c r="F38" i="58" s="1"/>
  <c r="E53" i="61"/>
  <c r="E35" i="63"/>
  <c r="E37" i="63" s="1"/>
  <c r="F34" i="63"/>
  <c r="F37" i="63" s="1"/>
  <c r="G31" i="65"/>
  <c r="G34" i="65" s="1"/>
  <c r="D45" i="54"/>
  <c r="E27" i="54"/>
  <c r="D43" i="54" s="1"/>
  <c r="F49" i="65"/>
  <c r="D57" i="61"/>
  <c r="D58" i="61" s="1"/>
  <c r="D61" i="61" s="1"/>
  <c r="F40" i="57"/>
  <c r="E43" i="32" l="1"/>
  <c r="E46" i="32" s="1"/>
  <c r="E49" i="32" s="1"/>
  <c r="D68" i="38"/>
  <c r="D69" i="38" s="1"/>
  <c r="D70" i="38" s="1"/>
  <c r="E75" i="38" s="1"/>
  <c r="E77" i="38" s="1"/>
  <c r="E78" i="38" s="1"/>
  <c r="E79" i="38" s="1"/>
  <c r="E81" i="38" s="1"/>
  <c r="E84" i="38" s="1"/>
  <c r="E87" i="38" s="1"/>
  <c r="H31" i="38"/>
  <c r="F28" i="16"/>
  <c r="F30" i="16" s="1"/>
  <c r="F26" i="16" s="1"/>
  <c r="F31" i="38"/>
  <c r="E85" i="38"/>
  <c r="D37" i="61"/>
  <c r="D71" i="61" s="1"/>
  <c r="E60" i="61"/>
  <c r="D72" i="61"/>
  <c r="E71" i="61" s="1"/>
  <c r="E64" i="61"/>
  <c r="E31" i="38"/>
  <c r="E51" i="38"/>
  <c r="H50" i="38"/>
  <c r="G51" i="38"/>
  <c r="F51" i="38"/>
  <c r="H43" i="32"/>
  <c r="H46" i="32" s="1"/>
  <c r="H49" i="32" s="1"/>
  <c r="I47" i="32"/>
  <c r="I49" i="32" s="1"/>
  <c r="H24" i="59"/>
  <c r="I24" i="59" s="1"/>
  <c r="I29" i="59" s="1"/>
  <c r="H40" i="57"/>
  <c r="J48" i="69"/>
  <c r="J49" i="69" s="1"/>
  <c r="J50" i="69" s="1"/>
  <c r="J54" i="69" s="1"/>
  <c r="K47" i="69"/>
  <c r="D45" i="23"/>
  <c r="F32" i="16"/>
  <c r="H31" i="40"/>
  <c r="D33" i="40" s="1"/>
  <c r="E32" i="38"/>
  <c r="E33" i="38" s="1"/>
  <c r="E35" i="38" s="1"/>
  <c r="E38" i="38" s="1"/>
  <c r="E41" i="38" s="1"/>
  <c r="I32" i="38"/>
  <c r="I33" i="38" s="1"/>
  <c r="I35" i="38" s="1"/>
  <c r="I38" i="38" s="1"/>
  <c r="I41" i="38" s="1"/>
  <c r="F32" i="38"/>
  <c r="F33" i="38" s="1"/>
  <c r="F35" i="38" s="1"/>
  <c r="F38" i="38" s="1"/>
  <c r="F41" i="38" s="1"/>
  <c r="H32" i="38"/>
  <c r="H33" i="38" s="1"/>
  <c r="H35" i="38" s="1"/>
  <c r="H38" i="38" s="1"/>
  <c r="H41" i="38" s="1"/>
  <c r="G32" i="38"/>
  <c r="G33" i="38" s="1"/>
  <c r="G35" i="38" s="1"/>
  <c r="G38" i="38" s="1"/>
  <c r="G41" i="38" s="1"/>
  <c r="F50" i="38"/>
  <c r="D64" i="61"/>
  <c r="D65" i="61" s="1"/>
  <c r="D66" i="61" s="1"/>
  <c r="D68" i="61" s="1"/>
  <c r="I50" i="38"/>
  <c r="D55" i="35"/>
  <c r="D47" i="35"/>
  <c r="D48" i="35" s="1"/>
  <c r="F29" i="54"/>
  <c r="F30" i="54" s="1"/>
  <c r="F31" i="54" s="1"/>
  <c r="F32" i="54" s="1"/>
  <c r="F37" i="54" s="1"/>
  <c r="D38" i="52"/>
  <c r="D33" i="33"/>
  <c r="D37" i="33" s="1"/>
  <c r="D38" i="33" s="1"/>
  <c r="D40" i="33" s="1"/>
  <c r="H51" i="38"/>
  <c r="H54" i="38" s="1"/>
  <c r="E50" i="38"/>
  <c r="G50" i="38"/>
  <c r="I51" i="38"/>
  <c r="I75" i="38"/>
  <c r="I77" i="38" s="1"/>
  <c r="I78" i="38" s="1"/>
  <c r="I79" i="38" s="1"/>
  <c r="I81" i="38" s="1"/>
  <c r="I84" i="38" s="1"/>
  <c r="I87" i="38" s="1"/>
  <c r="E32" i="59"/>
  <c r="E33" i="59" s="1"/>
  <c r="E34" i="59" s="1"/>
  <c r="E39" i="59" s="1"/>
  <c r="H41" i="57"/>
  <c r="H42" i="57" s="1"/>
  <c r="H43" i="57" s="1"/>
  <c r="H52" i="57" s="1"/>
  <c r="H44" i="67"/>
  <c r="F35" i="36"/>
  <c r="F37" i="36" s="1"/>
  <c r="F38" i="36" s="1"/>
  <c r="C40" i="36" s="1"/>
  <c r="D36" i="44"/>
  <c r="D38" i="44"/>
  <c r="D39" i="44"/>
  <c r="D37" i="44"/>
  <c r="D28" i="15"/>
  <c r="D39" i="67"/>
  <c r="D41" i="67"/>
  <c r="D40" i="67"/>
  <c r="D42" i="67"/>
  <c r="E38" i="63"/>
  <c r="E39" i="63" s="1"/>
  <c r="E40" i="63" s="1"/>
  <c r="D54" i="64"/>
  <c r="D58" i="64" s="1"/>
  <c r="F41" i="57"/>
  <c r="F42" i="57" s="1"/>
  <c r="F43" i="57" s="1"/>
  <c r="F52" i="57" s="1"/>
  <c r="G35" i="65"/>
  <c r="G36" i="65" s="1"/>
  <c r="G37" i="65" s="1"/>
  <c r="D39" i="65" s="1"/>
  <c r="H29" i="59"/>
  <c r="F29" i="47"/>
  <c r="F30" i="47" s="1"/>
  <c r="F31" i="47" s="1"/>
  <c r="F35" i="47" s="1"/>
  <c r="H23" i="59"/>
  <c r="G27" i="59"/>
  <c r="G31" i="59" s="1"/>
  <c r="I25" i="47"/>
  <c r="I28" i="47" s="1"/>
  <c r="H28" i="47"/>
  <c r="D47" i="54"/>
  <c r="E29" i="54"/>
  <c r="D35" i="35"/>
  <c r="D36" i="35" s="1"/>
  <c r="F52" i="65"/>
  <c r="G49" i="65"/>
  <c r="G52" i="65" s="1"/>
  <c r="F38" i="63"/>
  <c r="F39" i="63" s="1"/>
  <c r="F40" i="63" s="1"/>
  <c r="F44" i="63" s="1"/>
  <c r="E65" i="61"/>
  <c r="E66" i="61" s="1"/>
  <c r="E68" i="61" s="1"/>
  <c r="G27" i="54"/>
  <c r="G25" i="54"/>
  <c r="F46" i="67"/>
  <c r="F44" i="67"/>
  <c r="G52" i="61"/>
  <c r="F57" i="61"/>
  <c r="F58" i="61" s="1"/>
  <c r="F61" i="61" s="1"/>
  <c r="F53" i="61"/>
  <c r="F32" i="59"/>
  <c r="F33" i="59" s="1"/>
  <c r="F34" i="59" s="1"/>
  <c r="F39" i="59" s="1"/>
  <c r="H29" i="63"/>
  <c r="H35" i="63" s="1"/>
  <c r="H37" i="63" s="1"/>
  <c r="G35" i="63"/>
  <c r="G37" i="63" s="1"/>
  <c r="H46" i="67"/>
  <c r="G28" i="47"/>
  <c r="G75" i="38" l="1"/>
  <c r="G77" i="38" s="1"/>
  <c r="G78" i="38" s="1"/>
  <c r="G79" i="38" s="1"/>
  <c r="G81" i="38" s="1"/>
  <c r="G84" i="38" s="1"/>
  <c r="G87" i="38" s="1"/>
  <c r="F75" i="38"/>
  <c r="F77" i="38" s="1"/>
  <c r="F78" i="38" s="1"/>
  <c r="F79" i="38" s="1"/>
  <c r="F81" i="38" s="1"/>
  <c r="F84" i="38" s="1"/>
  <c r="F87" i="38" s="1"/>
  <c r="H75" i="38"/>
  <c r="H77" i="38" s="1"/>
  <c r="H78" i="38" s="1"/>
  <c r="H79" i="38" s="1"/>
  <c r="H81" i="38" s="1"/>
  <c r="H84" i="38" s="1"/>
  <c r="H87" i="38" s="1"/>
  <c r="D74" i="61"/>
  <c r="D78" i="61" s="1"/>
  <c r="F60" i="61"/>
  <c r="F64" i="61" s="1"/>
  <c r="F65" i="61" s="1"/>
  <c r="F66" i="61" s="1"/>
  <c r="F68" i="61" s="1"/>
  <c r="E72" i="61"/>
  <c r="F62" i="38"/>
  <c r="H62" i="38"/>
  <c r="E62" i="38"/>
  <c r="E54" i="38"/>
  <c r="E55" i="38" s="1"/>
  <c r="E56" i="38" s="1"/>
  <c r="E58" i="38" s="1"/>
  <c r="E61" i="38" s="1"/>
  <c r="E64" i="38" s="1"/>
  <c r="I54" i="38"/>
  <c r="F54" i="38"/>
  <c r="F55" i="38" s="1"/>
  <c r="F56" i="38" s="1"/>
  <c r="F58" i="38" s="1"/>
  <c r="F61" i="38" s="1"/>
  <c r="F64" i="38" s="1"/>
  <c r="D52" i="32"/>
  <c r="D51" i="32"/>
  <c r="K48" i="69"/>
  <c r="K49" i="69" s="1"/>
  <c r="K50" i="69" s="1"/>
  <c r="K54" i="69" s="1"/>
  <c r="D56" i="69" s="1"/>
  <c r="D41" i="44"/>
  <c r="G54" i="38"/>
  <c r="D43" i="38"/>
  <c r="G62" i="38"/>
  <c r="G29" i="54"/>
  <c r="G30" i="54" s="1"/>
  <c r="G31" i="54" s="1"/>
  <c r="G32" i="54" s="1"/>
  <c r="G37" i="54" s="1"/>
  <c r="H38" i="63"/>
  <c r="H39" i="63" s="1"/>
  <c r="H40" i="63" s="1"/>
  <c r="H44" i="63" s="1"/>
  <c r="D62" i="57"/>
  <c r="F62" i="57" s="1"/>
  <c r="D54" i="57"/>
  <c r="D89" i="38"/>
  <c r="E44" i="63"/>
  <c r="G29" i="47"/>
  <c r="G30" i="47" s="1"/>
  <c r="G31" i="47" s="1"/>
  <c r="G35" i="47" s="1"/>
  <c r="G38" i="63"/>
  <c r="G39" i="63" s="1"/>
  <c r="G40" i="63" s="1"/>
  <c r="G44" i="63" s="1"/>
  <c r="G55" i="38"/>
  <c r="G56" i="38" s="1"/>
  <c r="G58" i="38" s="1"/>
  <c r="G61" i="38" s="1"/>
  <c r="H52" i="61"/>
  <c r="G57" i="61"/>
  <c r="G58" i="61" s="1"/>
  <c r="G61" i="61" s="1"/>
  <c r="G53" i="61"/>
  <c r="G53" i="65"/>
  <c r="G54" i="65" s="1"/>
  <c r="G55" i="65" s="1"/>
  <c r="I55" i="38"/>
  <c r="I56" i="38" s="1"/>
  <c r="I58" i="38" s="1"/>
  <c r="I61" i="38" s="1"/>
  <c r="I64" i="38" s="1"/>
  <c r="H55" i="38"/>
  <c r="H56" i="38" s="1"/>
  <c r="H58" i="38" s="1"/>
  <c r="H61" i="38" s="1"/>
  <c r="H29" i="47"/>
  <c r="H30" i="47" s="1"/>
  <c r="H31" i="47" s="1"/>
  <c r="H35" i="47" s="1"/>
  <c r="G32" i="59"/>
  <c r="G33" i="59" s="1"/>
  <c r="G34" i="59" s="1"/>
  <c r="G39" i="59" s="1"/>
  <c r="D46" i="67"/>
  <c r="D44" i="67"/>
  <c r="H27" i="54"/>
  <c r="H25" i="54"/>
  <c r="F53" i="65"/>
  <c r="F54" i="65" s="1"/>
  <c r="F55" i="65" s="1"/>
  <c r="E30" i="54"/>
  <c r="E31" i="54" s="1"/>
  <c r="E32" i="54" s="1"/>
  <c r="E37" i="54" s="1"/>
  <c r="I29" i="47"/>
  <c r="I30" i="47" s="1"/>
  <c r="I31" i="47" s="1"/>
  <c r="I35" i="47" s="1"/>
  <c r="H27" i="59"/>
  <c r="H31" i="59" s="1"/>
  <c r="I23" i="59"/>
  <c r="I27" i="59" s="1"/>
  <c r="I31" i="59" s="1"/>
  <c r="H64" i="38" l="1"/>
  <c r="G60" i="61"/>
  <c r="F72" i="61"/>
  <c r="G71" i="61" s="1"/>
  <c r="F71" i="61"/>
  <c r="E74" i="61"/>
  <c r="E78" i="61" s="1"/>
  <c r="G64" i="38"/>
  <c r="H29" i="54"/>
  <c r="H30" i="54" s="1"/>
  <c r="H31" i="54" s="1"/>
  <c r="H32" i="54" s="1"/>
  <c r="H37" i="54" s="1"/>
  <c r="G64" i="61"/>
  <c r="G65" i="61" s="1"/>
  <c r="G66" i="61" s="1"/>
  <c r="G68" i="61" s="1"/>
  <c r="D57" i="65"/>
  <c r="D59" i="65" s="1"/>
  <c r="H32" i="59"/>
  <c r="H33" i="59" s="1"/>
  <c r="H34" i="59" s="1"/>
  <c r="H39" i="59" s="1"/>
  <c r="I32" i="59"/>
  <c r="I33" i="59" s="1"/>
  <c r="I34" i="59" s="1"/>
  <c r="I39" i="59" s="1"/>
  <c r="I25" i="54"/>
  <c r="I27" i="54"/>
  <c r="H57" i="61"/>
  <c r="H58" i="61" s="1"/>
  <c r="H61" i="61" s="1"/>
  <c r="H53" i="61"/>
  <c r="D46" i="63"/>
  <c r="F74" i="61" l="1"/>
  <c r="F78" i="61" s="1"/>
  <c r="D66" i="38"/>
  <c r="H60" i="61"/>
  <c r="G72" i="61"/>
  <c r="H71" i="61" s="1"/>
  <c r="H74" i="61" s="1"/>
  <c r="D41" i="59"/>
  <c r="H64" i="61"/>
  <c r="H65" i="61" s="1"/>
  <c r="H66" i="61" s="1"/>
  <c r="H68" i="61" s="1"/>
  <c r="I29" i="54"/>
  <c r="G74" i="61" l="1"/>
  <c r="G78" i="61" s="1"/>
  <c r="H78" i="61"/>
  <c r="D80" i="61" s="1"/>
  <c r="I30" i="54"/>
  <c r="I31" i="54" s="1"/>
  <c r="I32" i="54" s="1"/>
  <c r="I37" i="54" s="1"/>
  <c r="D39" i="54" s="1"/>
</calcChain>
</file>

<file path=xl/sharedStrings.xml><?xml version="1.0" encoding="utf-8"?>
<sst xmlns="http://schemas.openxmlformats.org/spreadsheetml/2006/main" count="1188" uniqueCount="456">
  <si>
    <t>Question 1</t>
  </si>
  <si>
    <t>Input area:</t>
  </si>
  <si>
    <t>Output area:</t>
  </si>
  <si>
    <t>Question 2</t>
  </si>
  <si>
    <t>Question 3</t>
  </si>
  <si>
    <t>Depreciation</t>
  </si>
  <si>
    <t>Tax rate</t>
  </si>
  <si>
    <t>Variable cost</t>
  </si>
  <si>
    <t>EBT</t>
  </si>
  <si>
    <t>Question 4</t>
  </si>
  <si>
    <t>Sales</t>
  </si>
  <si>
    <t>OCF</t>
  </si>
  <si>
    <t>Depreciation tax shield</t>
  </si>
  <si>
    <t>Question 5</t>
  </si>
  <si>
    <t>Costs</t>
  </si>
  <si>
    <t>MACRS</t>
  </si>
  <si>
    <t>Question 6</t>
  </si>
  <si>
    <t>Asset investment</t>
  </si>
  <si>
    <t>Estimated annual sales</t>
  </si>
  <si>
    <t>to zero over tax life</t>
  </si>
  <si>
    <t>Required return</t>
  </si>
  <si>
    <t>NPV</t>
  </si>
  <si>
    <t>Initial investment in NWC</t>
  </si>
  <si>
    <t xml:space="preserve">Fixed asset value at end </t>
  </si>
  <si>
    <t>Year</t>
  </si>
  <si>
    <t>Cash flow</t>
  </si>
  <si>
    <t>Question 13</t>
  </si>
  <si>
    <t>Book value</t>
  </si>
  <si>
    <t>Aftertax salvage value</t>
  </si>
  <si>
    <t>Question 14</t>
  </si>
  <si>
    <t>Operating cost per year</t>
  </si>
  <si>
    <t>Initial investment</t>
  </si>
  <si>
    <t>Discount rate</t>
  </si>
  <si>
    <t>Pretax salvage value</t>
  </si>
  <si>
    <t>*Depreciation straight-line</t>
  </si>
  <si>
    <t>*Depreciation staight-line</t>
  </si>
  <si>
    <t>over life</t>
  </si>
  <si>
    <t>Annual depreciation charge</t>
  </si>
  <si>
    <t>Question 15</t>
  </si>
  <si>
    <t>Working capital reduction</t>
  </si>
  <si>
    <t>Question 16</t>
  </si>
  <si>
    <t>Cost savings per year</t>
  </si>
  <si>
    <t>Question 17</t>
  </si>
  <si>
    <t>EAC</t>
  </si>
  <si>
    <t>Question 18</t>
  </si>
  <si>
    <t>Techron I :</t>
  </si>
  <si>
    <t>Cost</t>
  </si>
  <si>
    <t>Operating costs per year</t>
  </si>
  <si>
    <t>Life</t>
  </si>
  <si>
    <t>Techron II :</t>
  </si>
  <si>
    <t>Both:</t>
  </si>
  <si>
    <t>Salvage value</t>
  </si>
  <si>
    <t xml:space="preserve">*Depreciation straight-line </t>
  </si>
  <si>
    <t>Both cases:</t>
  </si>
  <si>
    <t>Techron I:</t>
  </si>
  <si>
    <t>Techron II:</t>
  </si>
  <si>
    <t xml:space="preserve">The two milling machines have unequal lives, so they can only be compared by </t>
  </si>
  <si>
    <t>expressing both on an equivalent annual basis which is what the EAC method does.</t>
  </si>
  <si>
    <t xml:space="preserve">Cost </t>
  </si>
  <si>
    <t xml:space="preserve">Variable production cost </t>
  </si>
  <si>
    <t xml:space="preserve">    per carton</t>
  </si>
  <si>
    <t>Question 20</t>
  </si>
  <si>
    <t>Inventory cost</t>
  </si>
  <si>
    <t>Inventory cost per year</t>
  </si>
  <si>
    <t>MACRS five year class</t>
  </si>
  <si>
    <t>Question 21</t>
  </si>
  <si>
    <t>Pretax annual operating cost</t>
  </si>
  <si>
    <t>System B:</t>
  </si>
  <si>
    <t>System A:</t>
  </si>
  <si>
    <t>If the system will not be replaced when it wears</t>
  </si>
  <si>
    <t>Question 22</t>
  </si>
  <si>
    <t>Question 23</t>
  </si>
  <si>
    <t>Initial NWC</t>
  </si>
  <si>
    <t>IRR</t>
  </si>
  <si>
    <t>Input boxes in tan</t>
  </si>
  <si>
    <t>Output boxes in yellow</t>
  </si>
  <si>
    <t>Given data in blue</t>
  </si>
  <si>
    <t>Calculations in red</t>
  </si>
  <si>
    <t>Answers in green</t>
  </si>
  <si>
    <t>Taxes</t>
  </si>
  <si>
    <t>Variable costs</t>
  </si>
  <si>
    <t>Fixed costs</t>
  </si>
  <si>
    <t xml:space="preserve">*3 yr MACRS </t>
  </si>
  <si>
    <t>Installation cost</t>
  </si>
  <si>
    <t>NPV w/o OCF</t>
  </si>
  <si>
    <t>Cost savings</t>
  </si>
  <si>
    <t xml:space="preserve">Thus, you prefer the </t>
  </si>
  <si>
    <t>because it has the lower</t>
  </si>
  <si>
    <t>(less negative) annual cost.</t>
  </si>
  <si>
    <t>Quantity</t>
  </si>
  <si>
    <t>Installation costs</t>
  </si>
  <si>
    <t>Net working capital</t>
  </si>
  <si>
    <t>Initial cash outlay</t>
  </si>
  <si>
    <t>Necessary OCF</t>
  </si>
  <si>
    <t>OCF net of dep. tax shield</t>
  </si>
  <si>
    <t>Bid price</t>
  </si>
  <si>
    <t>Machine cost</t>
  </si>
  <si>
    <t xml:space="preserve">out, then </t>
  </si>
  <si>
    <t>Operating life</t>
  </si>
  <si>
    <t>lower EAC.</t>
  </si>
  <si>
    <t xml:space="preserve">should be chosen because it has the </t>
  </si>
  <si>
    <t xml:space="preserve">If the system is replaced, </t>
  </si>
  <si>
    <t>Additional NWC/year</t>
  </si>
  <si>
    <t>Year 1 unit sales</t>
  </si>
  <si>
    <t>Year 2 unit sales</t>
  </si>
  <si>
    <t>Year 3 unit sales</t>
  </si>
  <si>
    <t>Year 4 unit sales</t>
  </si>
  <si>
    <t>Year 5 unit sales</t>
  </si>
  <si>
    <t>Variable cost per unit</t>
  </si>
  <si>
    <t>Unit price</t>
  </si>
  <si>
    <t>Equipment cost</t>
  </si>
  <si>
    <t>Salvage value (% of price)</t>
  </si>
  <si>
    <t>MACRS depreciation</t>
  </si>
  <si>
    <t>Ending book value</t>
  </si>
  <si>
    <t>EBIT</t>
  </si>
  <si>
    <t>Net income</t>
  </si>
  <si>
    <t>Operating cash flow</t>
  </si>
  <si>
    <t>Net cash flows</t>
  </si>
  <si>
    <t>Change in NWC</t>
  </si>
  <si>
    <t>Capital spending</t>
  </si>
  <si>
    <t>Total cash flow</t>
  </si>
  <si>
    <t>Net present value</t>
  </si>
  <si>
    <t>Internal rate of return</t>
  </si>
  <si>
    <t>Question 25</t>
  </si>
  <si>
    <t>Question 26</t>
  </si>
  <si>
    <t>Installed cost</t>
  </si>
  <si>
    <t>NPV net of OCF</t>
  </si>
  <si>
    <t>Pretax cost savings</t>
  </si>
  <si>
    <t>Price per carton</t>
  </si>
  <si>
    <t>a.</t>
  </si>
  <si>
    <t>b.</t>
  </si>
  <si>
    <t>Breakeven quantity</t>
  </si>
  <si>
    <t>c.</t>
  </si>
  <si>
    <t>Breakeven fixed costs</t>
  </si>
  <si>
    <t>Question 27</t>
  </si>
  <si>
    <t>Input Area:</t>
  </si>
  <si>
    <t>Old cost</t>
  </si>
  <si>
    <t>New machine cost</t>
  </si>
  <si>
    <t>Life of machine</t>
  </si>
  <si>
    <t>Old machine depreciation</t>
  </si>
  <si>
    <t>MV old machine</t>
  </si>
  <si>
    <t>Old machine value in 2 yrs</t>
  </si>
  <si>
    <t>Saved operating costs</t>
  </si>
  <si>
    <t>Output Area:</t>
  </si>
  <si>
    <t>New computer:</t>
  </si>
  <si>
    <t>Operating CF</t>
  </si>
  <si>
    <t>Old Computer:</t>
  </si>
  <si>
    <t>Difference:</t>
  </si>
  <si>
    <t>New computer</t>
  </si>
  <si>
    <t>Old computer</t>
  </si>
  <si>
    <t>Question 19</t>
  </si>
  <si>
    <t>Machine A:</t>
  </si>
  <si>
    <t>Machine B:</t>
  </si>
  <si>
    <t>Machine A</t>
  </si>
  <si>
    <t>Machine B</t>
  </si>
  <si>
    <t>Tax</t>
  </si>
  <si>
    <t>+ Dep</t>
  </si>
  <si>
    <t xml:space="preserve">should be chosen since it has the </t>
  </si>
  <si>
    <t>Year 1 depreciation CF</t>
  </si>
  <si>
    <t>Year 2 depreciation CF</t>
  </si>
  <si>
    <t>Year 3 depreciation CF</t>
  </si>
  <si>
    <t>Year 4 depreciation CF</t>
  </si>
  <si>
    <t>Question 29</t>
  </si>
  <si>
    <t>Question 28</t>
  </si>
  <si>
    <t>Contract quantity</t>
  </si>
  <si>
    <t>Equipment</t>
  </si>
  <si>
    <t>Variable costs/unit</t>
  </si>
  <si>
    <t>Mkt. sales in Year 1</t>
  </si>
  <si>
    <t>Mkt. sales in Year 2</t>
  </si>
  <si>
    <t>Mkt. sales in Year 3</t>
  </si>
  <si>
    <t>Mkt. sales in Year 4</t>
  </si>
  <si>
    <t>Market price</t>
  </si>
  <si>
    <t>Project NPV</t>
  </si>
  <si>
    <t>Market sales</t>
  </si>
  <si>
    <t>Net income (and OCF)</t>
  </si>
  <si>
    <t>NPV of market sales</t>
  </si>
  <si>
    <t>NPV of OCF</t>
  </si>
  <si>
    <t>Units sold</t>
  </si>
  <si>
    <t>Cost per unit</t>
  </si>
  <si>
    <t>Price per unit</t>
  </si>
  <si>
    <t>Year 0</t>
  </si>
  <si>
    <t>Year 1</t>
  </si>
  <si>
    <t>Year 2</t>
  </si>
  <si>
    <t>Year 3</t>
  </si>
  <si>
    <t>Year 4</t>
  </si>
  <si>
    <t>Investment</t>
  </si>
  <si>
    <t>Sales revenue</t>
  </si>
  <si>
    <t>Operating costs</t>
  </si>
  <si>
    <t>?</t>
  </si>
  <si>
    <t>NWC</t>
  </si>
  <si>
    <t>Incremental cash flow</t>
  </si>
  <si>
    <t>Question 8</t>
  </si>
  <si>
    <t>Acquisition costs</t>
  </si>
  <si>
    <t>*MACRS class for taxes</t>
  </si>
  <si>
    <t>Book Value</t>
  </si>
  <si>
    <t>Aftertax cash flow</t>
  </si>
  <si>
    <t>Question 7</t>
  </si>
  <si>
    <t>Question 10</t>
  </si>
  <si>
    <t>Question 9</t>
  </si>
  <si>
    <t>Operating expenses</t>
  </si>
  <si>
    <t>Total</t>
  </si>
  <si>
    <t>Question 11</t>
  </si>
  <si>
    <t>Question 12</t>
  </si>
  <si>
    <t>Annual cash flows:</t>
  </si>
  <si>
    <t>Project A</t>
  </si>
  <si>
    <t>Project B</t>
  </si>
  <si>
    <t>.</t>
  </si>
  <si>
    <t>Inflation rate</t>
  </si>
  <si>
    <t>Real cash
flows</t>
  </si>
  <si>
    <t>Nominal cash 
flows</t>
  </si>
  <si>
    <t>Real required return</t>
  </si>
  <si>
    <t>Nominal required return</t>
  </si>
  <si>
    <t>Project A NPV</t>
  </si>
  <si>
    <t>Project B NPV</t>
  </si>
  <si>
    <t>Bottles sold</t>
  </si>
  <si>
    <t>Real sales price/bottle</t>
  </si>
  <si>
    <t>Cost/bottle</t>
  </si>
  <si>
    <t>Price increase</t>
  </si>
  <si>
    <t>Cost increase</t>
  </si>
  <si>
    <t>Year 1 aftertax revenue</t>
  </si>
  <si>
    <t>Year 1 aftertax costs</t>
  </si>
  <si>
    <t>PV of future aftertax revenue</t>
  </si>
  <si>
    <t>PV of future aftertax costs</t>
  </si>
  <si>
    <t>Value of company</t>
  </si>
  <si>
    <t>Year 1 nominal revenue</t>
  </si>
  <si>
    <t>Year 1 nominal expense</t>
  </si>
  <si>
    <t>Revenue &amp; Expense growth rate</t>
  </si>
  <si>
    <t>Nominal salvage value</t>
  </si>
  <si>
    <t>Nominal discount rate</t>
  </si>
  <si>
    <t>Expenses</t>
  </si>
  <si>
    <t>Total nominal cash flow</t>
  </si>
  <si>
    <t>Year 5</t>
  </si>
  <si>
    <t>Tax on sale</t>
  </si>
  <si>
    <t>Real cash flow</t>
  </si>
  <si>
    <t>Real cash flow growth rate</t>
  </si>
  <si>
    <t>Maintenance cost</t>
  </si>
  <si>
    <t>Cost of new machine</t>
  </si>
  <si>
    <t>Old machine book value</t>
  </si>
  <si>
    <t>Old machine market value</t>
  </si>
  <si>
    <t>Years of operation</t>
  </si>
  <si>
    <t>Purchase new machine</t>
  </si>
  <si>
    <t>Taxes on old machine</t>
  </si>
  <si>
    <t>Incremental cash flows</t>
  </si>
  <si>
    <t>Operating expense</t>
  </si>
  <si>
    <t xml:space="preserve">Pretax salvage value </t>
  </si>
  <si>
    <t>Saved salaries</t>
  </si>
  <si>
    <t>Reduction in NWC</t>
  </si>
  <si>
    <t>Requried return</t>
  </si>
  <si>
    <t>Sale of equipment</t>
  </si>
  <si>
    <t>Initial cost</t>
  </si>
  <si>
    <t>Growth rate in costs</t>
  </si>
  <si>
    <t>Nominal operating revenues</t>
  </si>
  <si>
    <t>Nominal production costs</t>
  </si>
  <si>
    <t>In nominal dollars:</t>
  </si>
  <si>
    <t>Revenues</t>
  </si>
  <si>
    <t>Year 6</t>
  </si>
  <si>
    <t>Year 7</t>
  </si>
  <si>
    <t>PV of revenue</t>
  </si>
  <si>
    <t>PV of revenue aftertax</t>
  </si>
  <si>
    <t>PV of costs</t>
  </si>
  <si>
    <t>PV of costs aftertax</t>
  </si>
  <si>
    <t>PV of depreciation tax shield</t>
  </si>
  <si>
    <t>Years project lasts</t>
  </si>
  <si>
    <t>Question 24</t>
  </si>
  <si>
    <t>Growth rate in quantity sold</t>
  </si>
  <si>
    <t>First year quantity sold</t>
  </si>
  <si>
    <t>Quantity sold</t>
  </si>
  <si>
    <t>Original cost of land</t>
  </si>
  <si>
    <t>Year 1 sales</t>
  </si>
  <si>
    <t>Year 2 sales</t>
  </si>
  <si>
    <t>Year 3 sales</t>
  </si>
  <si>
    <t>Year 4 sales</t>
  </si>
  <si>
    <t>Sales price</t>
  </si>
  <si>
    <t>Equipment costs</t>
  </si>
  <si>
    <t>Marketing study</t>
  </si>
  <si>
    <t>Year 1 depreciation</t>
  </si>
  <si>
    <t>Year 2 depreciation</t>
  </si>
  <si>
    <t>Year 3 depreciation</t>
  </si>
  <si>
    <t>Year 4 depreciation</t>
  </si>
  <si>
    <t>Sale price</t>
  </si>
  <si>
    <t>Old machine:</t>
  </si>
  <si>
    <t>Current MV</t>
  </si>
  <si>
    <t>Current BV</t>
  </si>
  <si>
    <t>Annual maintenance</t>
  </si>
  <si>
    <t>Salvage value in 5 years</t>
  </si>
  <si>
    <t>BV in 5 years</t>
  </si>
  <si>
    <t>New machine:</t>
  </si>
  <si>
    <t>Replacement machine</t>
  </si>
  <si>
    <t>cost in 5 years</t>
  </si>
  <si>
    <t>Buy new machine</t>
  </si>
  <si>
    <t xml:space="preserve">Taxes on sale </t>
  </si>
  <si>
    <t>Sell machine</t>
  </si>
  <si>
    <t>Buy new machine:</t>
  </si>
  <si>
    <t>Keep old machine:</t>
  </si>
  <si>
    <t xml:space="preserve">You should </t>
  </si>
  <si>
    <t>since the NPV of the decision is greater (less negative).</t>
  </si>
  <si>
    <t>Lost sale of old</t>
  </si>
  <si>
    <t>Taxes on sale of old</t>
  </si>
  <si>
    <t>Note that the NPV of the differential cash flow method is the same</t>
  </si>
  <si>
    <t>as the difference between the NPVs of the individual decision</t>
  </si>
  <si>
    <t>we calculated earlier, that is:</t>
  </si>
  <si>
    <t>Keep old machine</t>
  </si>
  <si>
    <t>Buy new machine -</t>
  </si>
  <si>
    <t>=</t>
  </si>
  <si>
    <t>Either method will give you the same answer.</t>
  </si>
  <si>
    <t>XX40:</t>
  </si>
  <si>
    <t>RH45:</t>
  </si>
  <si>
    <t>Real aftertax cash flow</t>
  </si>
  <si>
    <t xml:space="preserve">NPV </t>
  </si>
  <si>
    <t>Real discount rate</t>
  </si>
  <si>
    <t xml:space="preserve">The two copiers have unequal lives, so they can only be compared by </t>
  </si>
  <si>
    <t>We also must be sure to use the real interest rate since the cash flows are stated</t>
  </si>
  <si>
    <t xml:space="preserve">in real terms. Thus, you prefer the </t>
  </si>
  <si>
    <t>because it has the lower (less negative) annual cost.</t>
  </si>
  <si>
    <t>Cost of machine</t>
  </si>
  <si>
    <t>Price of keyboard</t>
  </si>
  <si>
    <t>Annual increase in price</t>
  </si>
  <si>
    <t>Production cost</t>
  </si>
  <si>
    <t>Annual increase in cost</t>
  </si>
  <si>
    <t>Quantity sold per year</t>
  </si>
  <si>
    <t>Question 30</t>
  </si>
  <si>
    <t>Question 31</t>
  </si>
  <si>
    <t>Question 32</t>
  </si>
  <si>
    <t>Question 35</t>
  </si>
  <si>
    <t>Question 34</t>
  </si>
  <si>
    <t>Question 33</t>
  </si>
  <si>
    <t>Price</t>
  </si>
  <si>
    <t>New Inventory</t>
  </si>
  <si>
    <t>Lost sales</t>
  </si>
  <si>
    <t>Price of lost sales</t>
  </si>
  <si>
    <t>VC on lost sales</t>
  </si>
  <si>
    <t>Old inventory</t>
  </si>
  <si>
    <t>Inventory</t>
  </si>
  <si>
    <t>Old Inventory</t>
  </si>
  <si>
    <t>Total cost</t>
  </si>
  <si>
    <t>VC</t>
  </si>
  <si>
    <t>Dep.</t>
  </si>
  <si>
    <t>NI</t>
  </si>
  <si>
    <t>+Dep.</t>
  </si>
  <si>
    <t>Beginning</t>
  </si>
  <si>
    <t>Ending</t>
  </si>
  <si>
    <t>Change</t>
  </si>
  <si>
    <t>Total Cash flow</t>
  </si>
  <si>
    <t>Year 1 quantity</t>
  </si>
  <si>
    <t>Year 2 quantity</t>
  </si>
  <si>
    <t>Year 3 quantity</t>
  </si>
  <si>
    <t>Year 4 quantity</t>
  </si>
  <si>
    <t>Year 5 quantity</t>
  </si>
  <si>
    <t>Year 5 aftertax salvage value</t>
  </si>
  <si>
    <t>Sell equipment</t>
  </si>
  <si>
    <t>Salvage value:</t>
  </si>
  <si>
    <t>Purchase today</t>
  </si>
  <si>
    <t>Purchase in 2 years</t>
  </si>
  <si>
    <t>Question 37</t>
  </si>
  <si>
    <t>Year 1 revenues</t>
  </si>
  <si>
    <t>Year 1 labor costs</t>
  </si>
  <si>
    <t>Year 1 other costs</t>
  </si>
  <si>
    <t>Lease cost</t>
  </si>
  <si>
    <t>Revenue increase</t>
  </si>
  <si>
    <t>Labor increase</t>
  </si>
  <si>
    <t>Other cost increase</t>
  </si>
  <si>
    <t>Real values today:</t>
  </si>
  <si>
    <t>Labor costs</t>
  </si>
  <si>
    <t>Other costs</t>
  </si>
  <si>
    <t>Aftertax present values:</t>
  </si>
  <si>
    <t>Lease payments</t>
  </si>
  <si>
    <t>Pretax present values:</t>
  </si>
  <si>
    <t>Question 38</t>
  </si>
  <si>
    <t>Required investment</t>
  </si>
  <si>
    <t>Real product price</t>
  </si>
  <si>
    <t>Real labor cost/hour</t>
  </si>
  <si>
    <t>Real increase in labor cost</t>
  </si>
  <si>
    <t>Real energy cost/unit</t>
  </si>
  <si>
    <t>Real increase in energy cost</t>
  </si>
  <si>
    <t>Labor input, in hours</t>
  </si>
  <si>
    <t>Energy input, in physical units</t>
  </si>
  <si>
    <t>Real labor cost each year</t>
  </si>
  <si>
    <t>Real energy cost each year</t>
  </si>
  <si>
    <t>Labor cost</t>
  </si>
  <si>
    <t>Energy cost</t>
  </si>
  <si>
    <t>Nominal depreciation each year</t>
  </si>
  <si>
    <t>Physical production, in units</t>
  </si>
  <si>
    <t>Question 36</t>
  </si>
  <si>
    <t>Purchase price of warehouse</t>
  </si>
  <si>
    <t>Rent for building</t>
  </si>
  <si>
    <t>Product A:</t>
  </si>
  <si>
    <t>Building modifications</t>
  </si>
  <si>
    <t>Product B:</t>
  </si>
  <si>
    <t>Pretax revenues</t>
  </si>
  <si>
    <t>Pretax expenditures</t>
  </si>
  <si>
    <t>Restoration costs</t>
  </si>
  <si>
    <t>Rent building:</t>
  </si>
  <si>
    <t>Years for project</t>
  </si>
  <si>
    <t>Rent</t>
  </si>
  <si>
    <t>Year 1-14</t>
  </si>
  <si>
    <t>Year 15</t>
  </si>
  <si>
    <t>Revenue</t>
  </si>
  <si>
    <t>Expenditures</t>
  </si>
  <si>
    <t>Restoration cost</t>
  </si>
  <si>
    <t>Headache only:</t>
  </si>
  <si>
    <t>Real price</t>
  </si>
  <si>
    <t>Units sold per year</t>
  </si>
  <si>
    <t>Real cost of production</t>
  </si>
  <si>
    <t>Headache and arthritis:</t>
  </si>
  <si>
    <t>Real pretax salvage</t>
  </si>
  <si>
    <t>Both pills:</t>
  </si>
  <si>
    <t>Life (years)</t>
  </si>
  <si>
    <t>Production costs</t>
  </si>
  <si>
    <t xml:space="preserve">Choose the </t>
  </si>
  <si>
    <t>pill since it has the greater NPV.</t>
  </si>
  <si>
    <t>Incremental
analysis</t>
  </si>
  <si>
    <t>Alternate solution:</t>
  </si>
  <si>
    <t>PV of revenues</t>
  </si>
  <si>
    <t>PV of variable costs</t>
  </si>
  <si>
    <t>PV of fixed costs</t>
  </si>
  <si>
    <t>PV of depreciation</t>
  </si>
  <si>
    <t>Land</t>
  </si>
  <si>
    <t>Aftertax PV of fixed costs</t>
  </si>
  <si>
    <t>Aftertax PV of depreciation</t>
  </si>
  <si>
    <t xml:space="preserve">    tax shield</t>
  </si>
  <si>
    <t>Aftertax PV of revenues</t>
  </si>
  <si>
    <t>Aftertax PV of variable costs</t>
  </si>
  <si>
    <t>Initial cash outlay:</t>
  </si>
  <si>
    <t>Year 2 capital spending</t>
  </si>
  <si>
    <t>Market value</t>
  </si>
  <si>
    <t>Book value of equipment in five years</t>
  </si>
  <si>
    <t>New table</t>
  </si>
  <si>
    <t>Old table</t>
  </si>
  <si>
    <t>Differential:</t>
  </si>
  <si>
    <t>Sell (buy) old machine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</si>
  <si>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</si>
  <si>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</si>
  <si>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</si>
  <si>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</si>
  <si>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6</t>
  </si>
  <si>
    <t>Annual pretax cost savings</t>
  </si>
  <si>
    <t>Taxes on salvage</t>
  </si>
  <si>
    <t>Problems 1-38</t>
  </si>
  <si>
    <t>Current land value</t>
  </si>
  <si>
    <t>Land value in 4 years</t>
  </si>
  <si>
    <t xml:space="preserve">Year 1 depreciation </t>
  </si>
  <si>
    <t xml:space="preserve">Year 2 depreciation </t>
  </si>
  <si>
    <t xml:space="preserve">Year 3 depreciation </t>
  </si>
  <si>
    <t xml:space="preserve">Year 4 depreciation </t>
  </si>
  <si>
    <t>Old book value</t>
  </si>
  <si>
    <t>Differential NPV:</t>
  </si>
  <si>
    <t>Rent vs. product A</t>
  </si>
  <si>
    <t>Rent vs. Product B</t>
  </si>
  <si>
    <t>should be chosen, because it has the less</t>
  </si>
  <si>
    <t>negative NPV.</t>
  </si>
  <si>
    <t>New salvage value</t>
  </si>
  <si>
    <t>In real dollars:</t>
  </si>
  <si>
    <t>Real cost increase</t>
  </si>
  <si>
    <t>Real production costs</t>
  </si>
  <si>
    <t>Real revenues</t>
  </si>
  <si>
    <t>Growth rate in revenues/Inflation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</si>
</sst>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0"/>
    <numFmt numFmtId="166" formatCode="#,##0.0000_);[Red]\(#,##0.0000\)"/>
    <numFmt numFmtId="167" formatCode="#,##0.0000"/>
    <numFmt numFmtId="168" formatCode="_(&quot;$&quot;* #,##0_);_(&quot;$&quot;* \(#,##0\);_(&quot;$&quot;* &quot;-&quot;??_);_(@_)"/>
    <numFmt numFmtId="169" formatCode="_(* #,##0_);_(* \(#,##0\);_(* &quot;-&quot;??_);_(@_)"/>
    <numFmt numFmtId="170" formatCode="_(&quot;$&quot;* #,##0_);_(&quot;$&quot;* \(#,##0\);_(&quot;$&quot;* &quot;-&quot;???_);_(@_)"/>
    <numFmt numFmtId="171" formatCode="_(&quot;$&quot;* #,##0.00_);_(&quot;$&quot;* \(#,##0.00\);_(&quot;$&quot;* &quot;-&quot;?????_);_(@_)"/>
    <numFmt numFmtId="172" formatCode="_(&quot;$&quot;* #,##0.00_);_(&quot;$&quot;* \(#,##0.00\);_(&quot;$&quot;* &quot;-&quot;_);_(@_)"/>
    <numFmt numFmtId="173" formatCode="_(&quot;$&quot;* #,##0.0_);_(&quot;$&quot;* \(#,##0.0\);_(&quot;$&quot;* &quot;-&quot;??_);_(@_)"/>
    <numFmt numFmtId="174" formatCode="_(* #,##0.0000_);_(* \(#,##0.0000\);_(* &quot;-&quot;????_);_(@_)"/>
    <numFmt numFmtId="175" formatCode="_(* #,##0.0_);_(* \(#,##0.0\);_(* &quot;-&quot;?_);_(@_)"/>
    <numFmt numFmtId="176" formatCode="_(&quot;$&quot;* #,##0.0_);_(&quot;$&quot;* \(#,##0.0\);_(&quot;$&quot;* &quot;-&quot;_);_(@_)"/>
    <numFmt numFmtId="177" formatCode="0.0%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50"/>
      <name val="Arial"/>
      <family val="2"/>
    </font>
    <font>
      <sz val="10"/>
      <color indexed="8"/>
      <name val="Arial"/>
      <family val="2"/>
    </font>
    <font>
      <sz val="12"/>
      <color indexed="5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u/>
      <sz val="12"/>
      <color indexed="8"/>
      <name val="Arial"/>
      <family val="2"/>
    </font>
    <font>
      <sz val="10"/>
      <color indexed="10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i/>
      <sz val="12"/>
      <color indexed="8"/>
      <name val="Arial"/>
      <family val="2"/>
    </font>
    <font>
      <i/>
      <u/>
      <sz val="12"/>
      <color indexed="8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Symbol"/>
      <family val="1"/>
      <charset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u/>
      <sz val="12"/>
      <name val="Arial"/>
      <family val="2"/>
    </font>
    <font>
      <i/>
      <u/>
      <sz val="12"/>
      <name val="Arial"/>
      <family val="2"/>
    </font>
    <font>
      <u val="singleAccounting"/>
      <sz val="12"/>
      <name val="Arial"/>
      <family val="2"/>
    </font>
    <font>
      <i/>
      <u/>
      <sz val="12"/>
      <name val="Arial"/>
      <family val="2"/>
    </font>
    <font>
      <u val="singleAccounting"/>
      <sz val="12"/>
      <color indexed="8"/>
      <name val="Arial"/>
      <family val="2"/>
    </font>
    <font>
      <i/>
      <sz val="12"/>
      <color indexed="10"/>
      <name val="Arial"/>
      <family val="2"/>
    </font>
    <font>
      <u/>
      <sz val="12"/>
      <color indexed="10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41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6" fontId="7" fillId="2" borderId="0" xfId="0" applyNumberFormat="1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8" fillId="2" borderId="0" xfId="0" applyFont="1" applyFill="1" applyBorder="1"/>
    <xf numFmtId="0" fontId="0" fillId="0" borderId="0" xfId="0" applyFill="1" applyBorder="1"/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3" xfId="0" applyFont="1" applyFill="1" applyBorder="1"/>
    <xf numFmtId="0" fontId="10" fillId="3" borderId="4" xfId="0" applyFont="1" applyFill="1" applyBorder="1"/>
    <xf numFmtId="0" fontId="8" fillId="3" borderId="0" xfId="0" applyFont="1" applyFill="1" applyBorder="1"/>
    <xf numFmtId="0" fontId="10" fillId="3" borderId="0" xfId="0" applyFont="1" applyFill="1" applyBorder="1"/>
    <xf numFmtId="0" fontId="10" fillId="3" borderId="5" xfId="0" applyFont="1" applyFill="1" applyBorder="1"/>
    <xf numFmtId="0" fontId="8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0" borderId="0" xfId="0" applyFont="1"/>
    <xf numFmtId="38" fontId="7" fillId="2" borderId="0" xfId="0" applyNumberFormat="1" applyFont="1" applyFill="1" applyBorder="1"/>
    <xf numFmtId="0" fontId="8" fillId="2" borderId="7" xfId="0" applyFont="1" applyFill="1" applyBorder="1"/>
    <xf numFmtId="9" fontId="7" fillId="2" borderId="0" xfId="0" applyNumberFormat="1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164" fontId="8" fillId="3" borderId="0" xfId="0" applyNumberFormat="1" applyFont="1" applyFill="1" applyBorder="1"/>
    <xf numFmtId="164" fontId="11" fillId="3" borderId="0" xfId="0" applyNumberFormat="1" applyFont="1" applyFill="1" applyBorder="1"/>
    <xf numFmtId="8" fontId="8" fillId="3" borderId="0" xfId="0" applyNumberFormat="1" applyFont="1" applyFill="1" applyBorder="1"/>
    <xf numFmtId="8" fontId="8" fillId="0" borderId="0" xfId="0" applyNumberFormat="1" applyFont="1" applyFill="1" applyBorder="1"/>
    <xf numFmtId="6" fontId="8" fillId="0" borderId="0" xfId="0" applyNumberFormat="1" applyFont="1" applyFill="1" applyBorder="1"/>
    <xf numFmtId="165" fontId="11" fillId="0" borderId="0" xfId="0" applyNumberFormat="1" applyFont="1" applyFill="1" applyBorder="1"/>
    <xf numFmtId="0" fontId="9" fillId="0" borderId="0" xfId="0" applyFont="1" applyFill="1" applyBorder="1"/>
    <xf numFmtId="6" fontId="8" fillId="3" borderId="7" xfId="0" applyNumberFormat="1" applyFont="1" applyFill="1" applyBorder="1"/>
    <xf numFmtId="164" fontId="6" fillId="2" borderId="5" xfId="0" applyNumberFormat="1" applyFont="1" applyFill="1" applyBorder="1"/>
    <xf numFmtId="0" fontId="0" fillId="2" borderId="5" xfId="0" applyFill="1" applyBorder="1"/>
    <xf numFmtId="0" fontId="5" fillId="2" borderId="8" xfId="0" applyFont="1" applyFill="1" applyBorder="1"/>
    <xf numFmtId="8" fontId="8" fillId="3" borderId="8" xfId="0" applyNumberFormat="1" applyFont="1" applyFill="1" applyBorder="1"/>
    <xf numFmtId="0" fontId="0" fillId="0" borderId="0" xfId="0" applyBorder="1"/>
    <xf numFmtId="0" fontId="5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/>
    <xf numFmtId="0" fontId="5" fillId="0" borderId="0" xfId="0" applyFont="1" applyFill="1" applyBorder="1"/>
    <xf numFmtId="165" fontId="8" fillId="0" borderId="0" xfId="0" applyNumberFormat="1" applyFont="1" applyFill="1" applyBorder="1"/>
    <xf numFmtId="164" fontId="11" fillId="0" borderId="0" xfId="0" applyNumberFormat="1" applyFont="1" applyFill="1" applyBorder="1"/>
    <xf numFmtId="165" fontId="8" fillId="3" borderId="7" xfId="0" applyNumberFormat="1" applyFont="1" applyFill="1" applyBorder="1"/>
    <xf numFmtId="0" fontId="8" fillId="3" borderId="8" xfId="0" applyFont="1" applyFill="1" applyBorder="1"/>
    <xf numFmtId="1" fontId="8" fillId="3" borderId="0" xfId="0" applyNumberFormat="1" applyFont="1" applyFill="1" applyBorder="1"/>
    <xf numFmtId="0" fontId="8" fillId="3" borderId="7" xfId="0" applyFont="1" applyFill="1" applyBorder="1"/>
    <xf numFmtId="6" fontId="11" fillId="3" borderId="0" xfId="0" applyNumberFormat="1" applyFont="1" applyFill="1" applyBorder="1"/>
    <xf numFmtId="8" fontId="8" fillId="3" borderId="7" xfId="0" applyNumberFormat="1" applyFont="1" applyFill="1" applyBorder="1"/>
    <xf numFmtId="0" fontId="0" fillId="3" borderId="0" xfId="0" applyFill="1" applyBorder="1"/>
    <xf numFmtId="10" fontId="0" fillId="0" borderId="0" xfId="0" applyNumberFormat="1"/>
    <xf numFmtId="2" fontId="0" fillId="0" borderId="0" xfId="0" applyNumberFormat="1"/>
    <xf numFmtId="1" fontId="7" fillId="2" borderId="0" xfId="0" applyNumberFormat="1" applyFont="1" applyFill="1" applyBorder="1"/>
    <xf numFmtId="6" fontId="8" fillId="3" borderId="0" xfId="0" applyNumberFormat="1" applyFont="1" applyFill="1" applyBorder="1" applyAlignment="1">
      <alignment horizontal="right"/>
    </xf>
    <xf numFmtId="1" fontId="7" fillId="2" borderId="7" xfId="0" applyNumberFormat="1" applyFont="1" applyFill="1" applyBorder="1"/>
    <xf numFmtId="8" fontId="8" fillId="3" borderId="0" xfId="0" applyNumberFormat="1" applyFont="1" applyFill="1" applyBorder="1" applyAlignment="1">
      <alignment horizontal="right"/>
    </xf>
    <xf numFmtId="6" fontId="8" fillId="3" borderId="7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0" fillId="2" borderId="7" xfId="0" applyFill="1" applyBorder="1"/>
    <xf numFmtId="0" fontId="5" fillId="3" borderId="0" xfId="0" applyFont="1" applyFill="1" applyBorder="1"/>
    <xf numFmtId="164" fontId="8" fillId="3" borderId="7" xfId="0" applyNumberFormat="1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0" fontId="8" fillId="3" borderId="4" xfId="0" applyFont="1" applyFill="1" applyBorder="1"/>
    <xf numFmtId="0" fontId="8" fillId="3" borderId="6" xfId="0" applyFont="1" applyFill="1" applyBorder="1"/>
    <xf numFmtId="0" fontId="5" fillId="3" borderId="3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8" fontId="12" fillId="3" borderId="9" xfId="0" applyNumberFormat="1" applyFont="1" applyFill="1" applyBorder="1"/>
    <xf numFmtId="0" fontId="8" fillId="3" borderId="0" xfId="0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42" fontId="8" fillId="3" borderId="0" xfId="0" applyNumberFormat="1" applyFont="1" applyFill="1" applyBorder="1"/>
    <xf numFmtId="42" fontId="13" fillId="3" borderId="0" xfId="0" applyNumberFormat="1" applyFont="1" applyFill="1" applyBorder="1"/>
    <xf numFmtId="41" fontId="13" fillId="3" borderId="0" xfId="0" applyNumberFormat="1" applyFont="1" applyFill="1" applyBorder="1"/>
    <xf numFmtId="42" fontId="12" fillId="3" borderId="9" xfId="0" applyNumberFormat="1" applyFont="1" applyFill="1" applyBorder="1"/>
    <xf numFmtId="41" fontId="13" fillId="3" borderId="10" xfId="0" applyNumberFormat="1" applyFont="1" applyFill="1" applyBorder="1"/>
    <xf numFmtId="9" fontId="14" fillId="2" borderId="0" xfId="0" applyNumberFormat="1" applyFont="1" applyFill="1" applyBorder="1"/>
    <xf numFmtId="42" fontId="14" fillId="2" borderId="0" xfId="0" applyNumberFormat="1" applyFont="1" applyFill="1" applyBorder="1"/>
    <xf numFmtId="164" fontId="14" fillId="2" borderId="0" xfId="0" applyNumberFormat="1" applyFont="1" applyFill="1" applyBorder="1"/>
    <xf numFmtId="44" fontId="13" fillId="3" borderId="0" xfId="0" applyNumberFormat="1" applyFont="1" applyFill="1" applyBorder="1"/>
    <xf numFmtId="44" fontId="12" fillId="3" borderId="0" xfId="0" applyNumberFormat="1" applyFont="1" applyFill="1" applyBorder="1"/>
    <xf numFmtId="0" fontId="15" fillId="3" borderId="0" xfId="0" applyFont="1" applyFill="1" applyBorder="1" applyAlignment="1">
      <alignment horizontal="right"/>
    </xf>
    <xf numFmtId="164" fontId="15" fillId="3" borderId="0" xfId="0" applyNumberFormat="1" applyFont="1" applyFill="1" applyBorder="1" applyAlignment="1">
      <alignment horizontal="right"/>
    </xf>
    <xf numFmtId="41" fontId="14" fillId="2" borderId="0" xfId="0" applyNumberFormat="1" applyFont="1" applyFill="1" applyBorder="1"/>
    <xf numFmtId="9" fontId="14" fillId="2" borderId="0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167" fontId="14" fillId="2" borderId="0" xfId="0" applyNumberFormat="1" applyFont="1" applyFill="1" applyBorder="1"/>
    <xf numFmtId="44" fontId="16" fillId="3" borderId="0" xfId="0" applyNumberFormat="1" applyFont="1" applyFill="1" applyBorder="1"/>
    <xf numFmtId="1" fontId="14" fillId="2" borderId="0" xfId="0" applyNumberFormat="1" applyFont="1" applyFill="1" applyBorder="1"/>
    <xf numFmtId="42" fontId="13" fillId="3" borderId="0" xfId="0" applyNumberFormat="1" applyFont="1" applyFill="1" applyBorder="1" applyAlignment="1">
      <alignment horizontal="right"/>
    </xf>
    <xf numFmtId="0" fontId="10" fillId="4" borderId="0" xfId="0" applyFont="1" applyFill="1" applyBorder="1"/>
    <xf numFmtId="0" fontId="10" fillId="4" borderId="0" xfId="0" applyFont="1" applyFill="1"/>
    <xf numFmtId="0" fontId="0" fillId="4" borderId="0" xfId="0" applyFill="1"/>
    <xf numFmtId="2" fontId="17" fillId="4" borderId="0" xfId="0" applyNumberFormat="1" applyFont="1" applyFill="1" applyBorder="1" applyAlignment="1"/>
    <xf numFmtId="0" fontId="18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20" fillId="4" borderId="0" xfId="0" applyFont="1" applyFill="1" applyBorder="1"/>
    <xf numFmtId="0" fontId="21" fillId="4" borderId="0" xfId="0" applyFont="1" applyFill="1" applyBorder="1"/>
    <xf numFmtId="0" fontId="22" fillId="4" borderId="0" xfId="0" applyFont="1" applyFill="1" applyBorder="1"/>
    <xf numFmtId="0" fontId="23" fillId="4" borderId="0" xfId="0" applyFont="1" applyFill="1" applyBorder="1"/>
    <xf numFmtId="0" fontId="12" fillId="4" borderId="0" xfId="0" applyFont="1" applyFill="1" applyBorder="1"/>
    <xf numFmtId="0" fontId="0" fillId="4" borderId="0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3" borderId="4" xfId="0" applyFont="1" applyFill="1" applyBorder="1"/>
    <xf numFmtId="168" fontId="13" fillId="3" borderId="0" xfId="2" applyNumberFormat="1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5" fillId="3" borderId="8" xfId="0" applyFont="1" applyFill="1" applyBorder="1"/>
    <xf numFmtId="42" fontId="13" fillId="3" borderId="11" xfId="0" applyNumberFormat="1" applyFont="1" applyFill="1" applyBorder="1"/>
    <xf numFmtId="42" fontId="13" fillId="2" borderId="0" xfId="0" applyNumberFormat="1" applyFont="1" applyFill="1" applyBorder="1"/>
    <xf numFmtId="9" fontId="13" fillId="2" borderId="0" xfId="0" applyNumberFormat="1" applyFont="1" applyFill="1" applyBorder="1" applyAlignment="1">
      <alignment horizontal="right"/>
    </xf>
    <xf numFmtId="41" fontId="13" fillId="2" borderId="0" xfId="0" applyNumberFormat="1" applyFont="1" applyFill="1" applyBorder="1"/>
    <xf numFmtId="44" fontId="12" fillId="3" borderId="9" xfId="0" applyNumberFormat="1" applyFont="1" applyFill="1" applyBorder="1"/>
    <xf numFmtId="9" fontId="13" fillId="2" borderId="0" xfId="0" applyNumberFormat="1" applyFont="1" applyFill="1" applyBorder="1"/>
    <xf numFmtId="164" fontId="13" fillId="2" borderId="0" xfId="0" applyNumberFormat="1" applyFont="1" applyFill="1" applyBorder="1"/>
    <xf numFmtId="0" fontId="8" fillId="3" borderId="0" xfId="0" applyFont="1" applyFill="1" applyBorder="1" applyAlignment="1">
      <alignment horizontal="right"/>
    </xf>
    <xf numFmtId="42" fontId="5" fillId="3" borderId="0" xfId="0" applyNumberFormat="1" applyFont="1" applyFill="1" applyBorder="1" applyAlignment="1">
      <alignment horizontal="right"/>
    </xf>
    <xf numFmtId="10" fontId="12" fillId="3" borderId="9" xfId="0" applyNumberFormat="1" applyFont="1" applyFill="1" applyBorder="1"/>
    <xf numFmtId="6" fontId="15" fillId="3" borderId="0" xfId="0" applyNumberFormat="1" applyFont="1" applyFill="1" applyBorder="1" applyAlignment="1">
      <alignment horizontal="right"/>
    </xf>
    <xf numFmtId="0" fontId="13" fillId="3" borderId="0" xfId="0" applyFont="1" applyFill="1" applyBorder="1"/>
    <xf numFmtId="44" fontId="12" fillId="3" borderId="9" xfId="0" applyNumberFormat="1" applyFont="1" applyFill="1" applyBorder="1" applyAlignment="1">
      <alignment horizontal="right"/>
    </xf>
    <xf numFmtId="41" fontId="13" fillId="3" borderId="0" xfId="0" applyNumberFormat="1" applyFont="1" applyFill="1" applyBorder="1" applyAlignment="1">
      <alignment horizontal="right"/>
    </xf>
    <xf numFmtId="1" fontId="13" fillId="2" borderId="0" xfId="0" applyNumberFormat="1" applyFont="1" applyFill="1" applyBorder="1"/>
    <xf numFmtId="44" fontId="13" fillId="3" borderId="0" xfId="0" applyNumberFormat="1" applyFont="1" applyFill="1" applyBorder="1" applyAlignment="1">
      <alignment horizontal="right"/>
    </xf>
    <xf numFmtId="8" fontId="13" fillId="3" borderId="0" xfId="0" applyNumberFormat="1" applyFont="1" applyFill="1" applyBorder="1" applyAlignment="1">
      <alignment horizontal="right"/>
    </xf>
    <xf numFmtId="8" fontId="13" fillId="3" borderId="0" xfId="0" applyNumberFormat="1" applyFont="1" applyFill="1" applyBorder="1" applyAlignment="1">
      <alignment horizontal="center"/>
    </xf>
    <xf numFmtId="38" fontId="14" fillId="2" borderId="0" xfId="0" applyNumberFormat="1" applyFont="1" applyFill="1" applyBorder="1"/>
    <xf numFmtId="6" fontId="14" fillId="2" borderId="0" xfId="0" applyNumberFormat="1" applyFont="1" applyFill="1" applyBorder="1"/>
    <xf numFmtId="165" fontId="14" fillId="2" borderId="0" xfId="0" applyNumberFormat="1" applyFont="1" applyFill="1" applyBorder="1"/>
    <xf numFmtId="44" fontId="8" fillId="3" borderId="0" xfId="0" applyNumberFormat="1" applyFont="1" applyFill="1" applyBorder="1" applyAlignment="1">
      <alignment horizontal="right"/>
    </xf>
    <xf numFmtId="8" fontId="15" fillId="3" borderId="0" xfId="0" applyNumberFormat="1" applyFont="1" applyFill="1" applyBorder="1" applyAlignment="1">
      <alignment horizontal="right"/>
    </xf>
    <xf numFmtId="44" fontId="13" fillId="2" borderId="0" xfId="0" applyNumberFormat="1" applyFont="1" applyFill="1" applyBorder="1"/>
    <xf numFmtId="38" fontId="13" fillId="2" borderId="0" xfId="0" applyNumberFormat="1" applyFont="1" applyFill="1" applyBorder="1"/>
    <xf numFmtId="6" fontId="13" fillId="2" borderId="0" xfId="0" applyNumberFormat="1" applyFont="1" applyFill="1" applyBorder="1"/>
    <xf numFmtId="9" fontId="14" fillId="2" borderId="0" xfId="3" applyFont="1" applyFill="1" applyBorder="1"/>
    <xf numFmtId="170" fontId="14" fillId="2" borderId="0" xfId="0" applyNumberFormat="1" applyFont="1" applyFill="1" applyBorder="1"/>
    <xf numFmtId="10" fontId="14" fillId="2" borderId="0" xfId="3" applyNumberFormat="1" applyFont="1" applyFill="1" applyBorder="1"/>
    <xf numFmtId="0" fontId="8" fillId="3" borderId="3" xfId="0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25" fillId="3" borderId="0" xfId="0" applyFont="1" applyFill="1" applyBorder="1"/>
    <xf numFmtId="42" fontId="13" fillId="3" borderId="11" xfId="0" applyNumberFormat="1" applyFont="1" applyFill="1" applyBorder="1" applyAlignment="1">
      <alignment horizontal="right"/>
    </xf>
    <xf numFmtId="168" fontId="13" fillId="3" borderId="11" xfId="0" applyNumberFormat="1" applyFont="1" applyFill="1" applyBorder="1" applyAlignment="1">
      <alignment horizontal="right"/>
    </xf>
    <xf numFmtId="44" fontId="12" fillId="3" borderId="0" xfId="0" applyNumberFormat="1" applyFont="1" applyFill="1" applyBorder="1" applyAlignment="1">
      <alignment horizontal="right"/>
    </xf>
    <xf numFmtId="10" fontId="12" fillId="3" borderId="9" xfId="3" applyNumberFormat="1" applyFont="1" applyFill="1" applyBorder="1" applyAlignment="1">
      <alignment horizontal="right"/>
    </xf>
    <xf numFmtId="171" fontId="12" fillId="3" borderId="9" xfId="0" applyNumberFormat="1" applyFont="1" applyFill="1" applyBorder="1" applyAlignment="1">
      <alignment horizontal="right"/>
    </xf>
    <xf numFmtId="0" fontId="26" fillId="2" borderId="0" xfId="0" applyFont="1" applyFill="1" applyBorder="1"/>
    <xf numFmtId="44" fontId="27" fillId="2" borderId="0" xfId="2" applyFont="1" applyFill="1" applyBorder="1"/>
    <xf numFmtId="0" fontId="24" fillId="3" borderId="4" xfId="0" applyFont="1" applyFill="1" applyBorder="1"/>
    <xf numFmtId="44" fontId="13" fillId="3" borderId="0" xfId="2" applyFont="1" applyFill="1" applyBorder="1" applyAlignment="1">
      <alignment horizontal="right"/>
    </xf>
    <xf numFmtId="169" fontId="12" fillId="3" borderId="9" xfId="0" applyNumberFormat="1" applyFont="1" applyFill="1" applyBorder="1" applyAlignment="1">
      <alignment horizontal="right"/>
    </xf>
    <xf numFmtId="44" fontId="28" fillId="3" borderId="0" xfId="0" applyNumberFormat="1" applyFont="1" applyFill="1" applyBorder="1" applyAlignment="1">
      <alignment horizontal="right"/>
    </xf>
    <xf numFmtId="44" fontId="12" fillId="3" borderId="9" xfId="2" applyFont="1" applyFill="1" applyBorder="1" applyAlignment="1">
      <alignment horizontal="right"/>
    </xf>
    <xf numFmtId="172" fontId="12" fillId="3" borderId="9" xfId="0" applyNumberFormat="1" applyFont="1" applyFill="1" applyBorder="1"/>
    <xf numFmtId="3" fontId="14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168" fontId="14" fillId="2" borderId="0" xfId="2" applyNumberFormat="1" applyFont="1" applyFill="1" applyBorder="1"/>
    <xf numFmtId="41" fontId="14" fillId="2" borderId="0" xfId="2" applyNumberFormat="1" applyFont="1" applyFill="1" applyBorder="1"/>
    <xf numFmtId="0" fontId="7" fillId="2" borderId="7" xfId="0" applyFont="1" applyFill="1" applyBorder="1"/>
    <xf numFmtId="0" fontId="11" fillId="3" borderId="2" xfId="0" applyFont="1" applyFill="1" applyBorder="1"/>
    <xf numFmtId="0" fontId="0" fillId="3" borderId="3" xfId="0" applyFill="1" applyBorder="1"/>
    <xf numFmtId="0" fontId="0" fillId="3" borderId="5" xfId="0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5" fillId="3" borderId="0" xfId="0" applyFont="1" applyFill="1" applyBorder="1" applyAlignment="1">
      <alignment horizontal="center"/>
    </xf>
    <xf numFmtId="168" fontId="13" fillId="3" borderId="0" xfId="0" applyNumberFormat="1" applyFont="1" applyFill="1" applyBorder="1"/>
    <xf numFmtId="42" fontId="13" fillId="3" borderId="10" xfId="0" applyNumberFormat="1" applyFont="1" applyFill="1" applyBorder="1"/>
    <xf numFmtId="168" fontId="13" fillId="3" borderId="11" xfId="1" applyNumberFormat="1" applyFont="1" applyFill="1" applyBorder="1"/>
    <xf numFmtId="0" fontId="13" fillId="3" borderId="11" xfId="0" applyFont="1" applyFill="1" applyBorder="1"/>
    <xf numFmtId="44" fontId="11" fillId="3" borderId="0" xfId="2" applyFont="1" applyFill="1" applyBorder="1"/>
    <xf numFmtId="44" fontId="13" fillId="3" borderId="0" xfId="1" applyNumberFormat="1" applyFont="1" applyFill="1" applyBorder="1"/>
    <xf numFmtId="44" fontId="12" fillId="3" borderId="9" xfId="1" applyNumberFormat="1" applyFont="1" applyFill="1" applyBorder="1"/>
    <xf numFmtId="43" fontId="11" fillId="3" borderId="0" xfId="1" applyFont="1" applyFill="1" applyBorder="1"/>
    <xf numFmtId="168" fontId="11" fillId="3" borderId="0" xfId="0" applyNumberFormat="1" applyFont="1" applyFill="1" applyBorder="1"/>
    <xf numFmtId="42" fontId="13" fillId="3" borderId="11" xfId="1" applyNumberFormat="1" applyFont="1" applyFill="1" applyBorder="1"/>
    <xf numFmtId="8" fontId="13" fillId="3" borderId="11" xfId="1" applyNumberFormat="1" applyFont="1" applyFill="1" applyBorder="1"/>
    <xf numFmtId="6" fontId="13" fillId="3" borderId="11" xfId="1" applyNumberFormat="1" applyFont="1" applyFill="1" applyBorder="1"/>
    <xf numFmtId="8" fontId="11" fillId="3" borderId="0" xfId="1" applyNumberFormat="1" applyFont="1" applyFill="1" applyBorder="1"/>
    <xf numFmtId="42" fontId="13" fillId="3" borderId="0" xfId="1" applyNumberFormat="1" applyFont="1" applyFill="1" applyBorder="1"/>
    <xf numFmtId="6" fontId="13" fillId="3" borderId="0" xfId="0" applyNumberFormat="1" applyFont="1" applyFill="1" applyBorder="1"/>
    <xf numFmtId="0" fontId="11" fillId="3" borderId="7" xfId="0" applyFont="1" applyFill="1" applyBorder="1"/>
    <xf numFmtId="0" fontId="0" fillId="3" borderId="8" xfId="0" applyFill="1" applyBorder="1"/>
    <xf numFmtId="0" fontId="26" fillId="0" borderId="0" xfId="0" applyFont="1"/>
    <xf numFmtId="0" fontId="30" fillId="3" borderId="4" xfId="0" applyFont="1" applyFill="1" applyBorder="1"/>
    <xf numFmtId="0" fontId="30" fillId="3" borderId="0" xfId="0" applyFont="1" applyFill="1" applyBorder="1"/>
    <xf numFmtId="0" fontId="30" fillId="3" borderId="0" xfId="0" applyFont="1" applyFill="1" applyBorder="1" applyAlignment="1">
      <alignment horizontal="right"/>
    </xf>
    <xf numFmtId="0" fontId="30" fillId="3" borderId="5" xfId="0" applyFont="1" applyFill="1" applyBorder="1"/>
    <xf numFmtId="44" fontId="31" fillId="3" borderId="0" xfId="0" applyNumberFormat="1" applyFont="1" applyFill="1" applyBorder="1" applyAlignment="1">
      <alignment horizontal="right"/>
    </xf>
    <xf numFmtId="42" fontId="31" fillId="3" borderId="0" xfId="0" applyNumberFormat="1" applyFont="1" applyFill="1" applyBorder="1"/>
    <xf numFmtId="44" fontId="31" fillId="3" borderId="0" xfId="0" applyNumberFormat="1" applyFont="1" applyFill="1" applyBorder="1"/>
    <xf numFmtId="0" fontId="30" fillId="3" borderId="0" xfId="0" quotePrefix="1" applyFont="1" applyFill="1" applyBorder="1"/>
    <xf numFmtId="41" fontId="31" fillId="3" borderId="0" xfId="0" applyNumberFormat="1" applyFont="1" applyFill="1" applyBorder="1"/>
    <xf numFmtId="41" fontId="31" fillId="3" borderId="10" xfId="0" applyNumberFormat="1" applyFont="1" applyFill="1" applyBorder="1"/>
    <xf numFmtId="169" fontId="31" fillId="3" borderId="10" xfId="0" applyNumberFormat="1" applyFont="1" applyFill="1" applyBorder="1"/>
    <xf numFmtId="0" fontId="0" fillId="3" borderId="0" xfId="0" applyFill="1"/>
    <xf numFmtId="43" fontId="31" fillId="3" borderId="0" xfId="0" applyNumberFormat="1" applyFont="1" applyFill="1" applyBorder="1"/>
    <xf numFmtId="0" fontId="31" fillId="3" borderId="0" xfId="0" applyFont="1" applyFill="1" applyBorder="1"/>
    <xf numFmtId="0" fontId="26" fillId="3" borderId="5" xfId="0" applyFont="1" applyFill="1" applyBorder="1"/>
    <xf numFmtId="0" fontId="0" fillId="3" borderId="2" xfId="0" applyFill="1" applyBorder="1"/>
    <xf numFmtId="0" fontId="26" fillId="3" borderId="0" xfId="0" applyFont="1" applyFill="1" applyBorder="1" applyAlignment="1">
      <alignment horizontal="right"/>
    </xf>
    <xf numFmtId="0" fontId="26" fillId="3" borderId="0" xfId="0" applyFont="1" applyFill="1" applyBorder="1"/>
    <xf numFmtId="0" fontId="32" fillId="3" borderId="0" xfId="2" applyNumberFormat="1" applyFont="1" applyFill="1" applyBorder="1" applyAlignment="1">
      <alignment horizontal="center"/>
    </xf>
    <xf numFmtId="0" fontId="32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169" fontId="13" fillId="3" borderId="10" xfId="0" applyNumberFormat="1" applyFont="1" applyFill="1" applyBorder="1" applyAlignment="1">
      <alignment horizontal="right"/>
    </xf>
    <xf numFmtId="172" fontId="13" fillId="3" borderId="0" xfId="0" applyNumberFormat="1" applyFont="1" applyFill="1" applyBorder="1"/>
    <xf numFmtId="172" fontId="13" fillId="2" borderId="0" xfId="0" applyNumberFormat="1" applyFont="1" applyFill="1" applyBorder="1"/>
    <xf numFmtId="0" fontId="8" fillId="3" borderId="0" xfId="0" applyFont="1" applyFill="1" applyBorder="1" applyAlignment="1">
      <alignment horizontal="left"/>
    </xf>
    <xf numFmtId="41" fontId="13" fillId="3" borderId="10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42" fontId="33" fillId="2" borderId="0" xfId="0" applyNumberFormat="1" applyFont="1" applyFill="1" applyBorder="1" applyAlignment="1">
      <alignment horizontal="center"/>
    </xf>
    <xf numFmtId="42" fontId="14" fillId="2" borderId="0" xfId="0" applyNumberFormat="1" applyFont="1" applyFill="1" applyBorder="1" applyAlignment="1">
      <alignment horizontal="center"/>
    </xf>
    <xf numFmtId="43" fontId="14" fillId="2" borderId="0" xfId="0" applyNumberFormat="1" applyFont="1" applyFill="1" applyBorder="1"/>
    <xf numFmtId="41" fontId="13" fillId="3" borderId="0" xfId="0" applyNumberFormat="1" applyFont="1" applyFill="1" applyBorder="1" applyAlignment="1">
      <alignment horizontal="left"/>
    </xf>
    <xf numFmtId="43" fontId="13" fillId="3" borderId="0" xfId="0" applyNumberFormat="1" applyFont="1" applyFill="1" applyBorder="1"/>
    <xf numFmtId="172" fontId="12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center"/>
    </xf>
    <xf numFmtId="166" fontId="14" fillId="2" borderId="0" xfId="0" applyNumberFormat="1" applyFont="1" applyFill="1" applyBorder="1"/>
    <xf numFmtId="165" fontId="8" fillId="3" borderId="0" xfId="0" applyNumberFormat="1" applyFont="1" applyFill="1" applyBorder="1"/>
    <xf numFmtId="165" fontId="11" fillId="3" borderId="7" xfId="0" applyNumberFormat="1" applyFont="1" applyFill="1" applyBorder="1"/>
    <xf numFmtId="0" fontId="9" fillId="3" borderId="8" xfId="0" applyFont="1" applyFill="1" applyBorder="1"/>
    <xf numFmtId="42" fontId="32" fillId="3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2" borderId="2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169" fontId="4" fillId="2" borderId="0" xfId="1" applyNumberFormat="1" applyFont="1" applyFill="1" applyBorder="1" applyAlignment="1">
      <alignment horizontal="right"/>
    </xf>
    <xf numFmtId="0" fontId="11" fillId="0" borderId="0" xfId="0" applyFont="1"/>
    <xf numFmtId="42" fontId="14" fillId="2" borderId="0" xfId="1" applyNumberFormat="1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3" borderId="2" xfId="0" applyFont="1" applyFill="1" applyBorder="1"/>
    <xf numFmtId="0" fontId="7" fillId="3" borderId="0" xfId="0" applyFont="1" applyFill="1" applyBorder="1"/>
    <xf numFmtId="0" fontId="4" fillId="2" borderId="0" xfId="0" applyFont="1" applyFill="1" applyBorder="1" applyAlignment="1">
      <alignment horizontal="right" wrapText="1"/>
    </xf>
    <xf numFmtId="10" fontId="13" fillId="3" borderId="0" xfId="3" applyNumberFormat="1" applyFont="1" applyFill="1" applyBorder="1"/>
    <xf numFmtId="10" fontId="12" fillId="3" borderId="0" xfId="0" applyNumberFormat="1" applyFont="1" applyFill="1" applyBorder="1"/>
    <xf numFmtId="41" fontId="0" fillId="0" borderId="0" xfId="0" applyNumberFormat="1"/>
    <xf numFmtId="41" fontId="6" fillId="2" borderId="4" xfId="0" applyNumberFormat="1" applyFont="1" applyFill="1" applyBorder="1"/>
    <xf numFmtId="41" fontId="6" fillId="2" borderId="5" xfId="0" applyNumberFormat="1" applyFont="1" applyFill="1" applyBorder="1"/>
    <xf numFmtId="0" fontId="8" fillId="2" borderId="0" xfId="0" applyNumberFormat="1" applyFont="1" applyFill="1" applyBorder="1"/>
    <xf numFmtId="44" fontId="14" fillId="2" borderId="0" xfId="3" applyNumberFormat="1" applyFont="1" applyFill="1" applyBorder="1"/>
    <xf numFmtId="44" fontId="14" fillId="2" borderId="0" xfId="0" applyNumberFormat="1" applyFont="1" applyFill="1" applyBorder="1"/>
    <xf numFmtId="42" fontId="31" fillId="3" borderId="0" xfId="0" applyNumberFormat="1" applyFont="1" applyFill="1" applyBorder="1" applyAlignment="1">
      <alignment horizontal="right"/>
    </xf>
    <xf numFmtId="168" fontId="14" fillId="2" borderId="0" xfId="3" applyNumberFormat="1" applyFont="1" applyFill="1" applyBorder="1"/>
    <xf numFmtId="168" fontId="14" fillId="2" borderId="0" xfId="0" applyNumberFormat="1" applyFont="1" applyFill="1" applyBorder="1"/>
    <xf numFmtId="42" fontId="14" fillId="2" borderId="0" xfId="3" applyNumberFormat="1" applyFont="1" applyFill="1" applyBorder="1"/>
    <xf numFmtId="0" fontId="24" fillId="3" borderId="0" xfId="0" applyFont="1" applyFill="1" applyBorder="1"/>
    <xf numFmtId="0" fontId="25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1" fillId="3" borderId="10" xfId="0" applyFont="1" applyFill="1" applyBorder="1"/>
    <xf numFmtId="42" fontId="31" fillId="3" borderId="10" xfId="0" applyNumberFormat="1" applyFont="1" applyFill="1" applyBorder="1"/>
    <xf numFmtId="0" fontId="31" fillId="3" borderId="11" xfId="0" applyFont="1" applyFill="1" applyBorder="1"/>
    <xf numFmtId="168" fontId="31" fillId="3" borderId="0" xfId="0" applyNumberFormat="1" applyFont="1" applyFill="1" applyBorder="1"/>
    <xf numFmtId="168" fontId="31" fillId="3" borderId="11" xfId="0" applyNumberFormat="1" applyFont="1" applyFill="1" applyBorder="1"/>
    <xf numFmtId="0" fontId="24" fillId="2" borderId="0" xfId="0" applyFont="1" applyFill="1" applyBorder="1"/>
    <xf numFmtId="42" fontId="14" fillId="2" borderId="0" xfId="0" applyNumberFormat="1" applyFont="1" applyFill="1" applyBorder="1" applyAlignment="1">
      <alignment horizontal="right"/>
    </xf>
    <xf numFmtId="168" fontId="13" fillId="3" borderId="0" xfId="0" applyNumberFormat="1" applyFont="1" applyFill="1" applyBorder="1" applyAlignment="1">
      <alignment horizontal="right"/>
    </xf>
    <xf numFmtId="168" fontId="34" fillId="3" borderId="0" xfId="0" applyNumberFormat="1" applyFont="1" applyFill="1" applyBorder="1" applyAlignment="1">
      <alignment horizontal="center"/>
    </xf>
    <xf numFmtId="172" fontId="13" fillId="3" borderId="11" xfId="0" applyNumberFormat="1" applyFont="1" applyFill="1" applyBorder="1"/>
    <xf numFmtId="43" fontId="13" fillId="3" borderId="10" xfId="0" applyNumberFormat="1" applyFont="1" applyFill="1" applyBorder="1"/>
    <xf numFmtId="41" fontId="14" fillId="2" borderId="0" xfId="3" applyNumberFormat="1" applyFont="1" applyFill="1" applyBorder="1"/>
    <xf numFmtId="0" fontId="6" fillId="2" borderId="0" xfId="0" applyFont="1" applyFill="1" applyBorder="1"/>
    <xf numFmtId="41" fontId="14" fillId="2" borderId="0" xfId="0" applyNumberFormat="1" applyFont="1" applyFill="1" applyBorder="1" applyAlignment="1">
      <alignment horizontal="right"/>
    </xf>
    <xf numFmtId="43" fontId="13" fillId="3" borderId="10" xfId="0" applyNumberFormat="1" applyFont="1" applyFill="1" applyBorder="1" applyAlignment="1">
      <alignment horizontal="right"/>
    </xf>
    <xf numFmtId="43" fontId="13" fillId="3" borderId="0" xfId="0" applyNumberFormat="1" applyFont="1" applyFill="1" applyBorder="1" applyAlignment="1">
      <alignment horizontal="right"/>
    </xf>
    <xf numFmtId="44" fontId="10" fillId="3" borderId="0" xfId="0" applyNumberFormat="1" applyFont="1" applyFill="1" applyBorder="1"/>
    <xf numFmtId="168" fontId="13" fillId="3" borderId="11" xfId="0" applyNumberFormat="1" applyFont="1" applyFill="1" applyBorder="1"/>
    <xf numFmtId="169" fontId="13" fillId="3" borderId="0" xfId="0" applyNumberFormat="1" applyFont="1" applyFill="1" applyBorder="1"/>
    <xf numFmtId="44" fontId="5" fillId="3" borderId="0" xfId="0" applyNumberFormat="1" applyFont="1" applyFill="1" applyBorder="1"/>
    <xf numFmtId="0" fontId="24" fillId="3" borderId="0" xfId="0" quotePrefix="1" applyFont="1" applyFill="1" applyBorder="1"/>
    <xf numFmtId="172" fontId="14" fillId="2" borderId="0" xfId="0" applyNumberFormat="1" applyFont="1" applyFill="1" applyBorder="1"/>
    <xf numFmtId="41" fontId="26" fillId="0" borderId="0" xfId="0" applyNumberFormat="1" applyFont="1"/>
    <xf numFmtId="0" fontId="26" fillId="2" borderId="1" xfId="0" applyFont="1" applyFill="1" applyBorder="1"/>
    <xf numFmtId="0" fontId="26" fillId="2" borderId="2" xfId="0" applyFont="1" applyFill="1" applyBorder="1"/>
    <xf numFmtId="0" fontId="26" fillId="2" borderId="3" xfId="0" applyFont="1" applyFill="1" applyBorder="1"/>
    <xf numFmtId="0" fontId="26" fillId="2" borderId="4" xfId="0" applyFont="1" applyFill="1" applyBorder="1"/>
    <xf numFmtId="42" fontId="27" fillId="2" borderId="0" xfId="0" applyNumberFormat="1" applyFont="1" applyFill="1" applyBorder="1"/>
    <xf numFmtId="0" fontId="26" fillId="2" borderId="5" xfId="0" applyFont="1" applyFill="1" applyBorder="1"/>
    <xf numFmtId="41" fontId="27" fillId="2" borderId="0" xfId="0" applyNumberFormat="1" applyFont="1" applyFill="1" applyBorder="1"/>
    <xf numFmtId="41" fontId="26" fillId="2" borderId="5" xfId="0" applyNumberFormat="1" applyFont="1" applyFill="1" applyBorder="1"/>
    <xf numFmtId="9" fontId="27" fillId="2" borderId="0" xfId="3" applyFont="1" applyFill="1" applyBorder="1"/>
    <xf numFmtId="9" fontId="27" fillId="2" borderId="0" xfId="3" applyNumberFormat="1" applyFont="1" applyFill="1" applyBorder="1"/>
    <xf numFmtId="0" fontId="26" fillId="2" borderId="6" xfId="0" applyFont="1" applyFill="1" applyBorder="1"/>
    <xf numFmtId="0" fontId="26" fillId="2" borderId="7" xfId="0" applyFont="1" applyFill="1" applyBorder="1"/>
    <xf numFmtId="9" fontId="26" fillId="2" borderId="7" xfId="3" applyNumberFormat="1" applyFont="1" applyFill="1" applyBorder="1"/>
    <xf numFmtId="0" fontId="26" fillId="2" borderId="8" xfId="0" applyFont="1" applyFill="1" applyBorder="1"/>
    <xf numFmtId="42" fontId="27" fillId="2" borderId="0" xfId="3" applyNumberFormat="1" applyFont="1" applyFill="1" applyBorder="1"/>
    <xf numFmtId="0" fontId="26" fillId="3" borderId="1" xfId="0" applyFont="1" applyFill="1" applyBorder="1"/>
    <xf numFmtId="0" fontId="4" fillId="3" borderId="2" xfId="0" applyFont="1" applyFill="1" applyBorder="1"/>
    <xf numFmtId="0" fontId="26" fillId="3" borderId="2" xfId="0" applyFont="1" applyFill="1" applyBorder="1"/>
    <xf numFmtId="0" fontId="26" fillId="3" borderId="4" xfId="0" applyFont="1" applyFill="1" applyBorder="1"/>
    <xf numFmtId="0" fontId="35" fillId="3" borderId="0" xfId="0" applyFont="1" applyFill="1" applyBorder="1" applyAlignment="1">
      <alignment horizontal="center"/>
    </xf>
    <xf numFmtId="0" fontId="26" fillId="3" borderId="0" xfId="0" quotePrefix="1" applyFont="1" applyFill="1" applyBorder="1"/>
    <xf numFmtId="0" fontId="26" fillId="3" borderId="6" xfId="0" applyFont="1" applyFill="1" applyBorder="1"/>
    <xf numFmtId="0" fontId="26" fillId="3" borderId="7" xfId="0" applyFont="1" applyFill="1" applyBorder="1"/>
    <xf numFmtId="9" fontId="14" fillId="2" borderId="0" xfId="3" applyFont="1" applyFill="1" applyBorder="1" applyAlignment="1">
      <alignment horizontal="right"/>
    </xf>
    <xf numFmtId="172" fontId="14" fillId="2" borderId="0" xfId="3" applyNumberFormat="1" applyFont="1" applyFill="1" applyBorder="1"/>
    <xf numFmtId="41" fontId="7" fillId="2" borderId="0" xfId="0" applyNumberFormat="1" applyFont="1" applyFill="1" applyBorder="1"/>
    <xf numFmtId="41" fontId="6" fillId="2" borderId="0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41" fontId="0" fillId="2" borderId="0" xfId="0" applyNumberFormat="1" applyFill="1" applyBorder="1"/>
    <xf numFmtId="0" fontId="0" fillId="2" borderId="8" xfId="0" applyFill="1" applyBorder="1"/>
    <xf numFmtId="0" fontId="24" fillId="2" borderId="0" xfId="0" applyFont="1" applyFill="1" applyBorder="1" applyAlignment="1">
      <alignment horizontal="right"/>
    </xf>
    <xf numFmtId="42" fontId="24" fillId="2" borderId="0" xfId="0" applyNumberFormat="1" applyFont="1" applyFill="1" applyBorder="1" applyAlignment="1">
      <alignment horizontal="right"/>
    </xf>
    <xf numFmtId="169" fontId="13" fillId="3" borderId="0" xfId="0" applyNumberFormat="1" applyFont="1" applyFill="1" applyBorder="1" applyAlignment="1">
      <alignment horizontal="right"/>
    </xf>
    <xf numFmtId="0" fontId="13" fillId="3" borderId="0" xfId="2" applyNumberFormat="1" applyFont="1" applyFill="1" applyBorder="1" applyAlignment="1">
      <alignment horizontal="center"/>
    </xf>
    <xf numFmtId="44" fontId="36" fillId="3" borderId="0" xfId="0" applyNumberFormat="1" applyFont="1" applyFill="1" applyBorder="1" applyAlignment="1">
      <alignment horizontal="right"/>
    </xf>
    <xf numFmtId="44" fontId="14" fillId="2" borderId="0" xfId="0" applyNumberFormat="1" applyFont="1" applyFill="1" applyBorder="1" applyAlignment="1">
      <alignment horizontal="right"/>
    </xf>
    <xf numFmtId="44" fontId="34" fillId="3" borderId="0" xfId="0" applyNumberFormat="1" applyFont="1" applyFill="1" applyBorder="1" applyAlignment="1">
      <alignment horizontal="right"/>
    </xf>
    <xf numFmtId="0" fontId="34" fillId="3" borderId="0" xfId="0" applyFont="1" applyFill="1" applyBorder="1" applyAlignment="1">
      <alignment horizontal="right"/>
    </xf>
    <xf numFmtId="8" fontId="12" fillId="3" borderId="0" xfId="0" applyNumberFormat="1" applyFont="1" applyFill="1" applyBorder="1" applyAlignment="1">
      <alignment horizontal="left"/>
    </xf>
    <xf numFmtId="0" fontId="24" fillId="3" borderId="0" xfId="0" applyFont="1" applyFill="1" applyBorder="1" applyAlignment="1">
      <alignment horizontal="right"/>
    </xf>
    <xf numFmtId="0" fontId="24" fillId="3" borderId="0" xfId="0" applyFont="1" applyFill="1" applyBorder="1" applyAlignment="1">
      <alignment horizontal="right" wrapText="1"/>
    </xf>
    <xf numFmtId="0" fontId="13" fillId="3" borderId="10" xfId="0" applyFont="1" applyFill="1" applyBorder="1"/>
    <xf numFmtId="0" fontId="37" fillId="3" borderId="0" xfId="0" applyFont="1" applyFill="1" applyBorder="1"/>
    <xf numFmtId="0" fontId="38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42" fontId="13" fillId="3" borderId="0" xfId="0" applyNumberFormat="1" applyFont="1" applyFill="1" applyBorder="1" applyAlignment="1">
      <alignment horizontal="center"/>
    </xf>
    <xf numFmtId="41" fontId="13" fillId="3" borderId="0" xfId="0" applyNumberFormat="1" applyFont="1" applyFill="1" applyBorder="1" applyAlignment="1">
      <alignment horizontal="center"/>
    </xf>
    <xf numFmtId="44" fontId="0" fillId="0" borderId="0" xfId="0" applyNumberFormat="1"/>
    <xf numFmtId="0" fontId="24" fillId="3" borderId="0" xfId="0" applyFont="1" applyFill="1" applyBorder="1" applyAlignment="1">
      <alignment horizontal="left"/>
    </xf>
    <xf numFmtId="173" fontId="24" fillId="3" borderId="0" xfId="2" applyNumberFormat="1" applyFont="1" applyFill="1" applyBorder="1"/>
    <xf numFmtId="173" fontId="24" fillId="3" borderId="0" xfId="0" applyNumberFormat="1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174" fontId="14" fillId="2" borderId="0" xfId="3" applyNumberFormat="1" applyFont="1" applyFill="1" applyBorder="1"/>
    <xf numFmtId="0" fontId="39" fillId="4" borderId="0" xfId="0" applyFont="1" applyFill="1" applyBorder="1"/>
    <xf numFmtId="172" fontId="13" fillId="3" borderId="0" xfId="0" applyNumberFormat="1" applyFont="1" applyFill="1" applyBorder="1" applyAlignment="1">
      <alignment horizontal="right"/>
    </xf>
    <xf numFmtId="41" fontId="40" fillId="2" borderId="0" xfId="0" applyNumberFormat="1" applyFont="1" applyFill="1" applyBorder="1"/>
    <xf numFmtId="44" fontId="30" fillId="3" borderId="0" xfId="0" applyNumberFormat="1" applyFont="1" applyFill="1" applyBorder="1"/>
    <xf numFmtId="0" fontId="2" fillId="0" borderId="0" xfId="4"/>
    <xf numFmtId="0" fontId="3" fillId="0" borderId="0" xfId="4" applyFont="1"/>
    <xf numFmtId="0" fontId="5" fillId="0" borderId="0" xfId="4" applyFont="1"/>
    <xf numFmtId="0" fontId="4" fillId="0" borderId="0" xfId="4" applyFont="1"/>
    <xf numFmtId="0" fontId="6" fillId="2" borderId="1" xfId="4" applyFont="1" applyFill="1" applyBorder="1"/>
    <xf numFmtId="0" fontId="6" fillId="2" borderId="2" xfId="4" applyFont="1" applyFill="1" applyBorder="1"/>
    <xf numFmtId="0" fontId="6" fillId="2" borderId="3" xfId="4" applyFont="1" applyFill="1" applyBorder="1"/>
    <xf numFmtId="0" fontId="6" fillId="2" borderId="4" xfId="4" applyFont="1" applyFill="1" applyBorder="1"/>
    <xf numFmtId="0" fontId="8" fillId="2" borderId="0" xfId="4" applyFont="1" applyFill="1" applyBorder="1"/>
    <xf numFmtId="42" fontId="14" fillId="2" borderId="0" xfId="4" applyNumberFormat="1" applyFont="1" applyFill="1" applyBorder="1"/>
    <xf numFmtId="0" fontId="6" fillId="2" borderId="5" xfId="4" applyFont="1" applyFill="1" applyBorder="1"/>
    <xf numFmtId="41" fontId="14" fillId="2" borderId="0" xfId="4" applyNumberFormat="1" applyFont="1" applyFill="1" applyBorder="1"/>
    <xf numFmtId="0" fontId="6" fillId="2" borderId="6" xfId="4" applyFont="1" applyFill="1" applyBorder="1"/>
    <xf numFmtId="0" fontId="8" fillId="2" borderId="7" xfId="4" applyFont="1" applyFill="1" applyBorder="1"/>
    <xf numFmtId="1" fontId="7" fillId="2" borderId="7" xfId="4" applyNumberFormat="1" applyFont="1" applyFill="1" applyBorder="1"/>
    <xf numFmtId="0" fontId="6" fillId="2" borderId="8" xfId="4" applyFont="1" applyFill="1" applyBorder="1"/>
    <xf numFmtId="0" fontId="10" fillId="3" borderId="1" xfId="4" applyFont="1" applyFill="1" applyBorder="1"/>
    <xf numFmtId="0" fontId="10" fillId="3" borderId="2" xfId="4" applyFont="1" applyFill="1" applyBorder="1"/>
    <xf numFmtId="0" fontId="10" fillId="3" borderId="3" xfId="4" applyFont="1" applyFill="1" applyBorder="1"/>
    <xf numFmtId="0" fontId="10" fillId="0" borderId="0" xfId="4" applyFont="1" applyFill="1" applyBorder="1"/>
    <xf numFmtId="0" fontId="10" fillId="3" borderId="4" xfId="4" applyFont="1" applyFill="1" applyBorder="1"/>
    <xf numFmtId="0" fontId="24" fillId="3" borderId="0" xfId="4" applyFont="1" applyFill="1" applyBorder="1"/>
    <xf numFmtId="0" fontId="10" fillId="3" borderId="0" xfId="4" applyFont="1" applyFill="1" applyBorder="1"/>
    <xf numFmtId="0" fontId="10" fillId="3" borderId="5" xfId="4" applyFont="1" applyFill="1" applyBorder="1"/>
    <xf numFmtId="0" fontId="8" fillId="3" borderId="0" xfId="4" applyFont="1" applyFill="1" applyBorder="1"/>
    <xf numFmtId="42" fontId="13" fillId="3" borderId="0" xfId="4" applyNumberFormat="1" applyFont="1" applyFill="1" applyBorder="1"/>
    <xf numFmtId="41" fontId="13" fillId="3" borderId="10" xfId="4" applyNumberFormat="1" applyFont="1" applyFill="1" applyBorder="1"/>
    <xf numFmtId="0" fontId="25" fillId="3" borderId="0" xfId="4" applyFont="1" applyFill="1" applyBorder="1" applyAlignment="1">
      <alignment horizontal="center"/>
    </xf>
    <xf numFmtId="41" fontId="13" fillId="3" borderId="0" xfId="4" applyNumberFormat="1" applyFont="1" applyFill="1" applyBorder="1"/>
    <xf numFmtId="42" fontId="13" fillId="3" borderId="11" xfId="4" applyNumberFormat="1" applyFont="1" applyFill="1" applyBorder="1"/>
    <xf numFmtId="41" fontId="8" fillId="3" borderId="0" xfId="4" applyNumberFormat="1" applyFont="1" applyFill="1" applyBorder="1"/>
    <xf numFmtId="41" fontId="8" fillId="3" borderId="10" xfId="4" applyNumberFormat="1" applyFont="1" applyFill="1" applyBorder="1"/>
    <xf numFmtId="168" fontId="13" fillId="3" borderId="0" xfId="4" applyNumberFormat="1" applyFont="1" applyFill="1" applyBorder="1"/>
    <xf numFmtId="44" fontId="12" fillId="3" borderId="9" xfId="4" applyNumberFormat="1" applyFont="1" applyFill="1" applyBorder="1"/>
    <xf numFmtId="0" fontId="10" fillId="3" borderId="6" xfId="4" applyFont="1" applyFill="1" applyBorder="1"/>
    <xf numFmtId="0" fontId="8" fillId="3" borderId="7" xfId="4" applyFont="1" applyFill="1" applyBorder="1"/>
    <xf numFmtId="0" fontId="10" fillId="3" borderId="8" xfId="4" applyFont="1" applyFill="1" applyBorder="1"/>
    <xf numFmtId="0" fontId="2" fillId="0" borderId="0" xfId="4" applyFill="1" applyBorder="1"/>
    <xf numFmtId="0" fontId="10" fillId="0" borderId="0" xfId="4" applyFont="1"/>
    <xf numFmtId="42" fontId="40" fillId="2" borderId="0" xfId="3" applyNumberFormat="1" applyFont="1" applyFill="1" applyBorder="1"/>
    <xf numFmtId="169" fontId="13" fillId="3" borderId="10" xfId="0" applyNumberFormat="1" applyFont="1" applyFill="1" applyBorder="1"/>
    <xf numFmtId="169" fontId="8" fillId="3" borderId="10" xfId="0" applyNumberFormat="1" applyFont="1" applyFill="1" applyBorder="1"/>
    <xf numFmtId="168" fontId="40" fillId="2" borderId="0" xfId="2" applyNumberFormat="1" applyFont="1" applyFill="1" applyBorder="1"/>
    <xf numFmtId="44" fontId="12" fillId="3" borderId="9" xfId="2" applyFont="1" applyFill="1" applyBorder="1"/>
    <xf numFmtId="172" fontId="40" fillId="2" borderId="0" xfId="0" applyNumberFormat="1" applyFont="1" applyFill="1" applyBorder="1"/>
    <xf numFmtId="44" fontId="40" fillId="3" borderId="0" xfId="0" applyNumberFormat="1" applyFont="1" applyFill="1" applyBorder="1"/>
    <xf numFmtId="42" fontId="0" fillId="0" borderId="0" xfId="0" applyNumberFormat="1"/>
    <xf numFmtId="41" fontId="8" fillId="3" borderId="10" xfId="0" applyNumberFormat="1" applyFont="1" applyFill="1" applyBorder="1"/>
    <xf numFmtId="175" fontId="0" fillId="0" borderId="0" xfId="0" applyNumberFormat="1"/>
    <xf numFmtId="10" fontId="27" fillId="2" borderId="0" xfId="3" applyNumberFormat="1" applyFont="1" applyFill="1" applyBorder="1"/>
    <xf numFmtId="176" fontId="13" fillId="3" borderId="0" xfId="0" applyNumberFormat="1" applyFont="1" applyFill="1" applyBorder="1"/>
    <xf numFmtId="177" fontId="14" fillId="2" borderId="0" xfId="0" applyNumberFormat="1" applyFont="1" applyFill="1" applyBorder="1"/>
    <xf numFmtId="177" fontId="14" fillId="2" borderId="0" xfId="3" applyNumberFormat="1" applyFont="1" applyFill="1" applyBorder="1"/>
    <xf numFmtId="0" fontId="8" fillId="0" borderId="0" xfId="4" applyFont="1" applyFill="1" applyBorder="1"/>
    <xf numFmtId="0" fontId="8" fillId="3" borderId="0" xfId="4" applyFont="1" applyFill="1" applyBorder="1" applyAlignment="1">
      <alignment horizontal="center"/>
    </xf>
    <xf numFmtId="44" fontId="12" fillId="3" borderId="9" xfId="4" applyNumberFormat="1" applyFont="1" applyFill="1" applyBorder="1" applyAlignment="1">
      <alignment horizontal="center"/>
    </xf>
    <xf numFmtId="0" fontId="8" fillId="3" borderId="0" xfId="4" applyFont="1" applyFill="1" applyBorder="1" applyAlignment="1">
      <alignment horizontal="left"/>
    </xf>
    <xf numFmtId="44" fontId="8" fillId="3" borderId="0" xfId="4" applyNumberFormat="1" applyFont="1" applyFill="1" applyBorder="1" applyAlignment="1">
      <alignment horizontal="center"/>
    </xf>
    <xf numFmtId="44" fontId="13" fillId="3" borderId="0" xfId="4" applyNumberFormat="1" applyFont="1" applyFill="1" applyBorder="1" applyAlignment="1">
      <alignment horizontal="right"/>
    </xf>
    <xf numFmtId="44" fontId="13" fillId="3" borderId="0" xfId="4" applyNumberFormat="1" applyFont="1" applyFill="1" applyBorder="1" applyAlignment="1">
      <alignment horizontal="center"/>
    </xf>
    <xf numFmtId="0" fontId="15" fillId="3" borderId="0" xfId="4" applyFont="1" applyFill="1" applyBorder="1" applyAlignment="1">
      <alignment horizontal="center"/>
    </xf>
    <xf numFmtId="44" fontId="13" fillId="3" borderId="0" xfId="4" applyNumberFormat="1" applyFont="1" applyFill="1" applyBorder="1" applyAlignment="1">
      <alignment horizontal="left"/>
    </xf>
    <xf numFmtId="44" fontId="13" fillId="3" borderId="0" xfId="4" applyNumberFormat="1" applyFont="1" applyFill="1" applyBorder="1"/>
    <xf numFmtId="0" fontId="8" fillId="3" borderId="10" xfId="4" applyFont="1" applyFill="1" applyBorder="1"/>
    <xf numFmtId="42" fontId="13" fillId="3" borderId="10" xfId="4" applyNumberFormat="1" applyFont="1" applyFill="1" applyBorder="1"/>
    <xf numFmtId="172" fontId="13" fillId="3" borderId="0" xfId="4" applyNumberFormat="1" applyFont="1" applyFill="1" applyBorder="1"/>
    <xf numFmtId="172" fontId="13" fillId="3" borderId="11" xfId="4" applyNumberFormat="1" applyFont="1" applyFill="1" applyBorder="1"/>
    <xf numFmtId="43" fontId="13" fillId="3" borderId="0" xfId="4" applyNumberFormat="1" applyFont="1" applyFill="1" applyBorder="1"/>
    <xf numFmtId="43" fontId="13" fillId="3" borderId="10" xfId="4" applyNumberFormat="1" applyFont="1" applyFill="1" applyBorder="1"/>
    <xf numFmtId="10" fontId="40" fillId="3" borderId="0" xfId="3" applyNumberFormat="1" applyFont="1" applyFill="1" applyBorder="1"/>
    <xf numFmtId="44" fontId="40" fillId="3" borderId="0" xfId="9" applyFont="1" applyFill="1" applyBorder="1"/>
    <xf numFmtId="172" fontId="40" fillId="3" borderId="0" xfId="4" applyNumberFormat="1" applyFont="1" applyFill="1" applyBorder="1"/>
    <xf numFmtId="1" fontId="7" fillId="2" borderId="0" xfId="4" applyNumberFormat="1" applyFont="1" applyFill="1" applyBorder="1"/>
  </cellXfs>
  <cellStyles count="10">
    <cellStyle name="Comma" xfId="1" builtinId="3"/>
    <cellStyle name="Currency" xfId="2" builtinId="4"/>
    <cellStyle name="Currency 2" xfId="5"/>
    <cellStyle name="Currency 3" xfId="9"/>
    <cellStyle name="Normal" xfId="0" builtinId="0"/>
    <cellStyle name="Normal 2" xfId="4"/>
    <cellStyle name="Normal 3" xfId="6"/>
    <cellStyle name="Percent" xfId="3" builtinId="5"/>
    <cellStyle name="Percent 2" xfId="7"/>
    <cellStyle name="Percent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99"/>
    <col min="4" max="4" width="42.5703125" style="99" customWidth="1"/>
    <col min="5" max="16384" width="9.140625" style="99"/>
  </cols>
  <sheetData>
    <row r="1" spans="1:29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</row>
    <row r="2" spans="1:29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</row>
    <row r="3" spans="1:29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</row>
    <row r="5" spans="1:29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29" x14ac:dyDescent="0.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</row>
    <row r="7" spans="1:29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</row>
    <row r="8" spans="1:29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</row>
    <row r="9" spans="1:29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</row>
    <row r="10" spans="1:29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</row>
    <row r="11" spans="1:29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</row>
    <row r="12" spans="1:29" ht="59.25" x14ac:dyDescent="0.75">
      <c r="A12" s="97"/>
      <c r="B12" s="97"/>
      <c r="C12" s="97"/>
      <c r="D12" s="100" t="s">
        <v>434</v>
      </c>
      <c r="E12" s="97"/>
      <c r="F12" s="101"/>
      <c r="G12" s="97"/>
      <c r="H12" s="97"/>
      <c r="I12" s="97"/>
      <c r="J12" s="97"/>
      <c r="K12" s="97"/>
      <c r="L12" s="97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spans="1:29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</row>
    <row r="14" spans="1:29" ht="23.25" x14ac:dyDescent="0.35">
      <c r="A14" s="97"/>
      <c r="B14" s="97"/>
      <c r="C14" s="97"/>
      <c r="D14" s="102" t="s">
        <v>437</v>
      </c>
      <c r="E14" s="97"/>
      <c r="F14" s="97"/>
      <c r="G14" s="97"/>
      <c r="H14" s="97"/>
      <c r="I14" s="97"/>
      <c r="J14" s="97"/>
      <c r="K14" s="97"/>
      <c r="L14" s="97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</row>
    <row r="15" spans="1:29" x14ac:dyDescent="0.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</row>
    <row r="16" spans="1:29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ht="15" x14ac:dyDescent="0.2">
      <c r="A17" s="97"/>
      <c r="B17" s="97"/>
      <c r="C17" s="97"/>
      <c r="D17" s="103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ht="15.75" x14ac:dyDescent="0.25">
      <c r="A18" s="97"/>
      <c r="B18" s="97"/>
      <c r="C18" s="97"/>
      <c r="D18" s="104" t="s">
        <v>74</v>
      </c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ht="15.75" x14ac:dyDescent="0.25">
      <c r="A19" s="97"/>
      <c r="B19" s="97"/>
      <c r="C19" s="97"/>
      <c r="D19" s="105" t="s">
        <v>75</v>
      </c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ht="15.75" x14ac:dyDescent="0.25">
      <c r="A20" s="97"/>
      <c r="B20" s="97"/>
      <c r="C20" s="97"/>
      <c r="D20" s="106" t="s">
        <v>76</v>
      </c>
      <c r="E20" s="97"/>
      <c r="F20" s="97"/>
      <c r="G20" s="97"/>
      <c r="H20" s="97"/>
      <c r="I20" s="97"/>
      <c r="J20" s="97"/>
      <c r="K20" s="97"/>
      <c r="L20" s="97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ht="15.75" x14ac:dyDescent="0.25">
      <c r="A21" s="97"/>
      <c r="B21" s="97"/>
      <c r="C21" s="97"/>
      <c r="D21" s="107" t="s">
        <v>77</v>
      </c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ht="15.75" x14ac:dyDescent="0.25">
      <c r="A22" s="97"/>
      <c r="B22" s="97"/>
      <c r="C22" s="97"/>
      <c r="D22" s="108" t="s">
        <v>78</v>
      </c>
      <c r="E22" s="97"/>
      <c r="F22" s="97"/>
      <c r="G22" s="97"/>
      <c r="H22" s="97"/>
      <c r="I22" s="97"/>
      <c r="J22" s="97"/>
      <c r="K22" s="97"/>
      <c r="L22" s="97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ht="15" x14ac:dyDescent="0.2">
      <c r="A23" s="97"/>
      <c r="B23" s="97"/>
      <c r="C23" s="97"/>
      <c r="D23" s="103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x14ac:dyDescent="0.2">
      <c r="A24" s="97"/>
      <c r="B24" s="97"/>
      <c r="C24" s="97"/>
      <c r="D24" s="348" t="s">
        <v>430</v>
      </c>
      <c r="E24" s="97"/>
      <c r="F24" s="97"/>
      <c r="G24" s="97"/>
      <c r="H24" s="97"/>
      <c r="I24" s="97"/>
      <c r="J24" s="97"/>
      <c r="K24" s="97"/>
      <c r="L24" s="97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x14ac:dyDescent="0.2">
      <c r="A25" s="97"/>
      <c r="B25" s="97"/>
      <c r="C25" s="97"/>
      <c r="D25" s="348" t="s">
        <v>431</v>
      </c>
      <c r="E25" s="97"/>
      <c r="F25" s="97"/>
      <c r="G25" s="97"/>
      <c r="H25" s="97"/>
      <c r="I25" s="97"/>
      <c r="J25" s="97"/>
      <c r="K25" s="97"/>
      <c r="L25" s="97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x14ac:dyDescent="0.2">
      <c r="A26" s="97"/>
      <c r="B26" s="97"/>
      <c r="C26" s="97"/>
      <c r="D26" s="348" t="s">
        <v>432</v>
      </c>
      <c r="E26" s="97"/>
      <c r="F26" s="97"/>
      <c r="G26" s="97"/>
      <c r="H26" s="97"/>
      <c r="I26" s="97"/>
      <c r="J26" s="97"/>
      <c r="K26" s="97"/>
      <c r="L26" s="97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</row>
    <row r="27" spans="1:29" x14ac:dyDescent="0.2">
      <c r="A27" s="97"/>
      <c r="B27" s="97"/>
      <c r="C27" s="97"/>
      <c r="D27" s="348" t="s">
        <v>433</v>
      </c>
      <c r="E27" s="97"/>
      <c r="F27" s="97"/>
      <c r="G27" s="97"/>
      <c r="H27" s="97"/>
      <c r="I27" s="97"/>
      <c r="J27" s="97"/>
      <c r="K27" s="97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</row>
    <row r="28" spans="1:29" x14ac:dyDescent="0.2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</row>
    <row r="29" spans="1:29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</row>
    <row r="30" spans="1:29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</row>
    <row r="31" spans="1:29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</row>
    <row r="32" spans="1:29" x14ac:dyDescent="0.2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1:29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  <row r="34" spans="1:29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</row>
    <row r="35" spans="1:29" x14ac:dyDescent="0.2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</row>
    <row r="36" spans="1:29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</row>
    <row r="37" spans="1:29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1:29" x14ac:dyDescent="0.2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</row>
    <row r="39" spans="1:29" x14ac:dyDescent="0.2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</row>
    <row r="40" spans="1:29" x14ac:dyDescent="0.2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</row>
    <row r="41" spans="1:29" x14ac:dyDescent="0.2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</row>
    <row r="42" spans="1:29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</row>
    <row r="43" spans="1:29" x14ac:dyDescent="0.2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</row>
    <row r="44" spans="1:29" x14ac:dyDescent="0.2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</row>
    <row r="45" spans="1:29" x14ac:dyDescent="0.2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</row>
    <row r="46" spans="1:29" x14ac:dyDescent="0.2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</row>
    <row r="47" spans="1:29" x14ac:dyDescent="0.2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</row>
    <row r="48" spans="1:29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  <row r="49" spans="1:12" x14ac:dyDescent="0.2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</row>
    <row r="50" spans="1:12" x14ac:dyDescent="0.2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1:12" x14ac:dyDescent="0.2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</row>
    <row r="52" spans="1:12" x14ac:dyDescent="0.2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</row>
    <row r="53" spans="1:12" x14ac:dyDescent="0.2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</row>
    <row r="54" spans="1:12" x14ac:dyDescent="0.2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</row>
    <row r="55" spans="1:12" x14ac:dyDescent="0.2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</row>
    <row r="56" spans="1:12" x14ac:dyDescent="0.2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</row>
    <row r="57" spans="1:12" x14ac:dyDescent="0.2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</row>
    <row r="58" spans="1:12" x14ac:dyDescent="0.2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</row>
    <row r="59" spans="1:12" x14ac:dyDescent="0.2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</row>
    <row r="60" spans="1:12" x14ac:dyDescent="0.2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</row>
    <row r="61" spans="1:12" x14ac:dyDescent="0.2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</row>
    <row r="62" spans="1:12" x14ac:dyDescent="0.2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2" x14ac:dyDescent="0.2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</row>
    <row r="64" spans="1:12" x14ac:dyDescent="0.2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</row>
    <row r="65" spans="1:12" x14ac:dyDescent="0.2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</row>
    <row r="66" spans="1:12" x14ac:dyDescent="0.2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</row>
    <row r="67" spans="1:12" x14ac:dyDescent="0.2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</row>
    <row r="68" spans="1:12" x14ac:dyDescent="0.2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</row>
    <row r="69" spans="1:12" x14ac:dyDescent="0.2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</row>
    <row r="70" spans="1:12" x14ac:dyDescent="0.2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</row>
    <row r="71" spans="1:12" x14ac:dyDescent="0.2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</row>
    <row r="72" spans="1:12" x14ac:dyDescent="0.2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</row>
    <row r="73" spans="1:12" x14ac:dyDescent="0.2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</row>
    <row r="74" spans="1:12" x14ac:dyDescent="0.2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</row>
    <row r="75" spans="1:12" x14ac:dyDescent="0.2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</row>
    <row r="76" spans="1:12" x14ac:dyDescent="0.2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</row>
    <row r="77" spans="1:12" x14ac:dyDescent="0.2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</row>
    <row r="78" spans="1:12" x14ac:dyDescent="0.2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</row>
    <row r="79" spans="1:12" x14ac:dyDescent="0.2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</row>
    <row r="80" spans="1:12" x14ac:dyDescent="0.2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</row>
    <row r="81" spans="1:12" x14ac:dyDescent="0.2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</row>
    <row r="82" spans="1:12" x14ac:dyDescent="0.2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</row>
    <row r="83" spans="1:12" x14ac:dyDescent="0.2">
      <c r="A83" s="109"/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</row>
    <row r="84" spans="1:12" x14ac:dyDescent="0.2">
      <c r="A84" s="109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</row>
    <row r="85" spans="1:12" x14ac:dyDescent="0.2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</row>
    <row r="86" spans="1:12" x14ac:dyDescent="0.2">
      <c r="A86" s="109"/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</row>
    <row r="87" spans="1:12" x14ac:dyDescent="0.2">
      <c r="A87" s="109"/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</row>
    <row r="88" spans="1:12" x14ac:dyDescent="0.2">
      <c r="A88" s="109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</row>
    <row r="89" spans="1:12" x14ac:dyDescent="0.2">
      <c r="A89" s="109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</row>
    <row r="90" spans="1:12" x14ac:dyDescent="0.2">
      <c r="A90" s="109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</row>
    <row r="91" spans="1:12" x14ac:dyDescent="0.2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</row>
    <row r="92" spans="1:12" x14ac:dyDescent="0.2">
      <c r="A92" s="109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</row>
    <row r="93" spans="1:12" x14ac:dyDescent="0.2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</row>
    <row r="94" spans="1:12" x14ac:dyDescent="0.2">
      <c r="A94" s="109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</row>
    <row r="95" spans="1:12" x14ac:dyDescent="0.2">
      <c r="A95" s="109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</row>
    <row r="96" spans="1:12" x14ac:dyDescent="0.2">
      <c r="A96" s="109"/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</row>
    <row r="97" spans="1:12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</row>
    <row r="98" spans="1:12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</row>
    <row r="99" spans="1:12" x14ac:dyDescent="0.2">
      <c r="A99" s="109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</row>
    <row r="100" spans="1:12" x14ac:dyDescent="0.2">
      <c r="A100" s="109"/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</row>
    <row r="101" spans="1:12" x14ac:dyDescent="0.2">
      <c r="A101" s="109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</row>
    <row r="102" spans="1:12" x14ac:dyDescent="0.2">
      <c r="A102" s="109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</row>
    <row r="103" spans="1:12" x14ac:dyDescent="0.2">
      <c r="A103" s="109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</row>
    <row r="104" spans="1:12" x14ac:dyDescent="0.2">
      <c r="A104" s="109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</row>
    <row r="105" spans="1:12" x14ac:dyDescent="0.2">
      <c r="A105" s="109"/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</row>
    <row r="106" spans="1:12" x14ac:dyDescent="0.2">
      <c r="A106" s="109"/>
      <c r="B106" s="109"/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7" ht="18" customHeight="1" x14ac:dyDescent="0.25">
      <c r="C1" s="1" t="s">
        <v>434</v>
      </c>
    </row>
    <row r="2" spans="2:7" ht="15.75" customHeight="1" x14ac:dyDescent="0.2">
      <c r="C2" s="3" t="s">
        <v>198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31</v>
      </c>
      <c r="D7" s="84">
        <v>3900000</v>
      </c>
      <c r="E7" s="9"/>
      <c r="G7" s="57"/>
    </row>
    <row r="8" spans="2:7" ht="15.75" customHeight="1" x14ac:dyDescent="0.2">
      <c r="B8" s="8"/>
      <c r="C8" s="13" t="s">
        <v>10</v>
      </c>
      <c r="D8" s="84">
        <v>2350000</v>
      </c>
      <c r="E8" s="9"/>
      <c r="G8" s="57"/>
    </row>
    <row r="9" spans="2:7" ht="15.75" customHeight="1" x14ac:dyDescent="0.2">
      <c r="B9" s="8"/>
      <c r="C9" s="13" t="s">
        <v>34</v>
      </c>
      <c r="D9" s="95"/>
      <c r="E9" s="9"/>
      <c r="G9" s="57"/>
    </row>
    <row r="10" spans="2:7" ht="15.75" customHeight="1" x14ac:dyDescent="0.2">
      <c r="B10" s="8"/>
      <c r="C10" s="13" t="s">
        <v>36</v>
      </c>
      <c r="D10" s="90">
        <v>4</v>
      </c>
      <c r="E10" s="9"/>
      <c r="G10" s="57"/>
    </row>
    <row r="11" spans="2:7" ht="15.75" customHeight="1" x14ac:dyDescent="0.2">
      <c r="B11" s="8"/>
      <c r="C11" s="13" t="s">
        <v>199</v>
      </c>
      <c r="D11" s="152">
        <v>0.25</v>
      </c>
      <c r="E11" s="9"/>
    </row>
    <row r="12" spans="2:7" ht="15.75" customHeight="1" x14ac:dyDescent="0.2">
      <c r="B12" s="8"/>
      <c r="C12" s="13" t="s">
        <v>91</v>
      </c>
      <c r="D12" s="84">
        <v>150000</v>
      </c>
      <c r="E12" s="9"/>
    </row>
    <row r="13" spans="2:7" ht="15.75" customHeight="1" x14ac:dyDescent="0.2">
      <c r="B13" s="8"/>
      <c r="C13" s="13" t="s">
        <v>6</v>
      </c>
      <c r="D13" s="83">
        <v>0.35</v>
      </c>
      <c r="E13" s="9"/>
    </row>
    <row r="14" spans="2:7" ht="15.75" customHeight="1" x14ac:dyDescent="0.2">
      <c r="B14" s="8"/>
      <c r="C14" s="13" t="s">
        <v>20</v>
      </c>
      <c r="D14" s="83">
        <v>0.13</v>
      </c>
      <c r="E14" s="9"/>
    </row>
    <row r="15" spans="2:7" ht="15.75" customHeight="1" thickBot="1" x14ac:dyDescent="0.25">
      <c r="B15" s="10"/>
      <c r="C15" s="11"/>
      <c r="D15" s="11"/>
      <c r="E15" s="12"/>
    </row>
    <row r="16" spans="2:7" ht="15.75" customHeight="1" x14ac:dyDescent="0.2"/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  <c r="F19" s="30"/>
      <c r="G19" s="30"/>
      <c r="H19" s="30"/>
    </row>
    <row r="20" spans="2:8" ht="15.75" customHeight="1" x14ac:dyDescent="0.2">
      <c r="B20" s="18"/>
      <c r="C20" s="19" t="s">
        <v>92</v>
      </c>
      <c r="D20" s="20"/>
      <c r="E20" s="21"/>
      <c r="F20" s="30"/>
      <c r="G20" s="30"/>
      <c r="H20" s="30"/>
    </row>
    <row r="21" spans="2:8" ht="15.75" customHeight="1" x14ac:dyDescent="0.2">
      <c r="B21" s="18"/>
      <c r="C21" s="19" t="s">
        <v>165</v>
      </c>
      <c r="D21" s="79">
        <f>-D7</f>
        <v>-3900000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189</v>
      </c>
      <c r="D22" s="82">
        <f>-D12</f>
        <v>-150000</v>
      </c>
      <c r="E22" s="21"/>
      <c r="F22" s="30"/>
      <c r="G22" s="30"/>
      <c r="H22" s="30"/>
    </row>
    <row r="23" spans="2:8" ht="15.75" customHeight="1" x14ac:dyDescent="0.2">
      <c r="B23" s="18"/>
      <c r="C23" s="19" t="s">
        <v>200</v>
      </c>
      <c r="D23" s="79">
        <f>D21+D22</f>
        <v>-4050000</v>
      </c>
      <c r="E23" s="21"/>
      <c r="F23" s="30"/>
      <c r="G23" s="30"/>
      <c r="H23" s="30"/>
    </row>
    <row r="24" spans="2:8" ht="15.75" customHeight="1" x14ac:dyDescent="0.2">
      <c r="B24" s="18"/>
      <c r="C24" s="19"/>
      <c r="D24" s="20"/>
      <c r="E24" s="21"/>
      <c r="F24" s="30"/>
      <c r="G24" s="30"/>
      <c r="H24" s="30"/>
    </row>
    <row r="25" spans="2:8" ht="15.75" customHeight="1" x14ac:dyDescent="0.2">
      <c r="B25" s="18"/>
      <c r="C25" s="19" t="s">
        <v>10</v>
      </c>
      <c r="D25" s="96">
        <f>D8</f>
        <v>2350000</v>
      </c>
      <c r="E25" s="21"/>
      <c r="F25" s="30"/>
      <c r="G25" s="30"/>
      <c r="H25" s="30"/>
    </row>
    <row r="26" spans="2:8" ht="15.75" customHeight="1" x14ac:dyDescent="0.2">
      <c r="B26" s="18"/>
      <c r="C26" s="19" t="s">
        <v>14</v>
      </c>
      <c r="D26" s="139">
        <f>D25*D11</f>
        <v>587500</v>
      </c>
      <c r="E26" s="22"/>
      <c r="F26" s="30"/>
      <c r="G26" s="30"/>
      <c r="H26" s="31"/>
    </row>
    <row r="27" spans="2:8" ht="15.75" customHeight="1" x14ac:dyDescent="0.2">
      <c r="B27" s="18"/>
      <c r="C27" s="19" t="s">
        <v>5</v>
      </c>
      <c r="D27" s="226">
        <f>D7/D10</f>
        <v>975000</v>
      </c>
      <c r="E27" s="21"/>
      <c r="F27" s="30"/>
      <c r="G27" s="30"/>
      <c r="H27" s="30"/>
    </row>
    <row r="28" spans="2:8" ht="15.75" customHeight="1" x14ac:dyDescent="0.2">
      <c r="B28" s="18"/>
      <c r="C28" s="19" t="s">
        <v>8</v>
      </c>
      <c r="D28" s="96">
        <f>D25-D26-D27</f>
        <v>787500</v>
      </c>
      <c r="E28" s="21"/>
      <c r="F28" s="30"/>
      <c r="G28" s="30"/>
      <c r="H28" s="30"/>
    </row>
    <row r="29" spans="2:8" ht="15.75" customHeight="1" x14ac:dyDescent="0.2">
      <c r="B29" s="18"/>
      <c r="C29" s="225" t="s">
        <v>155</v>
      </c>
      <c r="D29" s="226">
        <f>D28*D13</f>
        <v>275625</v>
      </c>
      <c r="E29" s="21"/>
      <c r="F29" s="30"/>
      <c r="G29" s="30"/>
      <c r="H29" s="30"/>
    </row>
    <row r="30" spans="2:8" ht="15.75" customHeight="1" x14ac:dyDescent="0.2">
      <c r="B30" s="18"/>
      <c r="C30" s="19" t="s">
        <v>115</v>
      </c>
      <c r="D30" s="96">
        <f>D28-D29</f>
        <v>511875</v>
      </c>
      <c r="E30" s="21"/>
      <c r="F30" s="30"/>
      <c r="G30" s="30"/>
      <c r="H30" s="30"/>
    </row>
    <row r="31" spans="2:8" ht="15.75" customHeight="1" x14ac:dyDescent="0.2">
      <c r="B31" s="18"/>
      <c r="C31" s="19"/>
      <c r="D31" s="96"/>
      <c r="E31" s="21"/>
      <c r="F31" s="30"/>
      <c r="G31" s="30"/>
      <c r="H31" s="30"/>
    </row>
    <row r="32" spans="2:8" ht="15.75" customHeight="1" x14ac:dyDescent="0.2">
      <c r="B32" s="18"/>
      <c r="C32" s="19" t="s">
        <v>11</v>
      </c>
      <c r="D32" s="96">
        <f>D30+D27</f>
        <v>1486875</v>
      </c>
      <c r="E32" s="21"/>
      <c r="F32" s="30"/>
      <c r="G32" s="30"/>
      <c r="H32" s="30"/>
    </row>
    <row r="33" spans="2:8" ht="15.75" customHeight="1" x14ac:dyDescent="0.2">
      <c r="B33" s="18"/>
      <c r="C33" s="19"/>
      <c r="D33" s="96"/>
      <c r="E33" s="21"/>
      <c r="F33" s="30"/>
      <c r="G33" s="30"/>
      <c r="H33" s="30"/>
    </row>
    <row r="34" spans="2:8" ht="15.75" customHeight="1" x14ac:dyDescent="0.2">
      <c r="B34" s="18"/>
      <c r="C34" s="156" t="s">
        <v>24</v>
      </c>
      <c r="D34" s="239" t="s">
        <v>25</v>
      </c>
      <c r="E34" s="21"/>
      <c r="F34" s="30"/>
      <c r="G34" s="30"/>
      <c r="H34" s="30"/>
    </row>
    <row r="35" spans="2:8" ht="15.75" customHeight="1" x14ac:dyDescent="0.2">
      <c r="B35" s="18"/>
      <c r="C35" s="76">
        <v>0</v>
      </c>
      <c r="D35" s="96">
        <f>D23</f>
        <v>-4050000</v>
      </c>
      <c r="E35" s="21"/>
      <c r="F35" s="30"/>
      <c r="G35" s="30"/>
      <c r="H35" s="30"/>
    </row>
    <row r="36" spans="2:8" ht="15.75" customHeight="1" x14ac:dyDescent="0.2">
      <c r="B36" s="18"/>
      <c r="C36" s="76">
        <v>1</v>
      </c>
      <c r="D36" s="139">
        <f>D32</f>
        <v>1486875</v>
      </c>
      <c r="E36" s="21"/>
      <c r="F36" s="30"/>
      <c r="G36" s="30"/>
      <c r="H36" s="30"/>
    </row>
    <row r="37" spans="2:8" ht="15.75" customHeight="1" x14ac:dyDescent="0.2">
      <c r="B37" s="18"/>
      <c r="C37" s="76">
        <v>2</v>
      </c>
      <c r="D37" s="139">
        <f>D32</f>
        <v>1486875</v>
      </c>
      <c r="E37" s="21"/>
      <c r="F37" s="30"/>
      <c r="G37" s="30"/>
      <c r="H37" s="30"/>
    </row>
    <row r="38" spans="2:8" ht="15.75" customHeight="1" x14ac:dyDescent="0.2">
      <c r="B38" s="18"/>
      <c r="C38" s="76">
        <v>3</v>
      </c>
      <c r="D38" s="139">
        <f>D32</f>
        <v>1486875</v>
      </c>
      <c r="E38" s="21"/>
      <c r="F38" s="30"/>
      <c r="G38" s="30"/>
      <c r="H38" s="30"/>
    </row>
    <row r="39" spans="2:8" ht="15.75" customHeight="1" x14ac:dyDescent="0.2">
      <c r="B39" s="18"/>
      <c r="C39" s="76">
        <v>4</v>
      </c>
      <c r="D39" s="139">
        <f>D32+D12</f>
        <v>1636875</v>
      </c>
      <c r="E39" s="21"/>
      <c r="F39" s="30"/>
      <c r="G39" s="30"/>
      <c r="H39" s="30"/>
    </row>
    <row r="40" spans="2:8" ht="15.75" customHeight="1" x14ac:dyDescent="0.2">
      <c r="B40" s="18"/>
      <c r="C40" s="19"/>
      <c r="D40" s="96"/>
      <c r="E40" s="21"/>
      <c r="F40" s="30"/>
      <c r="G40" s="30"/>
      <c r="H40" s="30"/>
    </row>
    <row r="41" spans="2:8" ht="15.75" customHeight="1" x14ac:dyDescent="0.25">
      <c r="B41" s="18"/>
      <c r="C41" s="19" t="s">
        <v>21</v>
      </c>
      <c r="D41" s="171">
        <f>NPV(D14,D36:D39)+D35</f>
        <v>464664.86131903809</v>
      </c>
      <c r="E41" s="21"/>
      <c r="F41" s="30"/>
      <c r="G41" s="30"/>
      <c r="H41" s="30"/>
    </row>
    <row r="42" spans="2:8" ht="15.75" customHeight="1" thickBot="1" x14ac:dyDescent="0.25">
      <c r="B42" s="23"/>
      <c r="C42" s="53"/>
      <c r="D42" s="53"/>
      <c r="E42" s="25"/>
      <c r="F42" s="30"/>
      <c r="G42" s="30"/>
      <c r="H42" s="30"/>
    </row>
    <row r="43" spans="2:8" ht="15.75" customHeight="1" x14ac:dyDescent="0.2">
      <c r="B43" s="14"/>
      <c r="C43" s="14"/>
      <c r="D43" s="14"/>
      <c r="E43" s="14"/>
      <c r="F43" s="14"/>
      <c r="G43" s="14"/>
      <c r="H43" s="14"/>
    </row>
    <row r="44" spans="2:8" ht="15.75" customHeight="1" x14ac:dyDescent="0.2"/>
    <row r="45" spans="2:8" ht="15.75" customHeight="1" x14ac:dyDescent="0.2">
      <c r="D45" s="26"/>
    </row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7" width="18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197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45</v>
      </c>
      <c r="D7" s="4"/>
      <c r="E7" s="9"/>
      <c r="G7" s="57"/>
    </row>
    <row r="8" spans="2:7" ht="15.75" customHeight="1" x14ac:dyDescent="0.2">
      <c r="B8" s="8"/>
      <c r="C8" s="13" t="s">
        <v>46</v>
      </c>
      <c r="D8" s="84">
        <v>245000</v>
      </c>
      <c r="E8" s="9"/>
    </row>
    <row r="9" spans="2:7" ht="15.75" customHeight="1" x14ac:dyDescent="0.2">
      <c r="B9" s="8"/>
      <c r="C9" s="13" t="s">
        <v>47</v>
      </c>
      <c r="D9" s="84">
        <v>39000</v>
      </c>
      <c r="E9" s="9"/>
    </row>
    <row r="10" spans="2:7" ht="15.75" customHeight="1" x14ac:dyDescent="0.2">
      <c r="B10" s="8"/>
      <c r="C10" s="13" t="s">
        <v>48</v>
      </c>
      <c r="D10" s="172">
        <v>3</v>
      </c>
      <c r="E10" s="9"/>
    </row>
    <row r="11" spans="2:7" ht="15.75" customHeight="1" x14ac:dyDescent="0.2">
      <c r="B11" s="8"/>
      <c r="C11" s="13" t="s">
        <v>49</v>
      </c>
      <c r="D11" s="83"/>
      <c r="E11" s="9"/>
    </row>
    <row r="12" spans="2:7" ht="15.75" customHeight="1" x14ac:dyDescent="0.2">
      <c r="B12" s="8"/>
      <c r="C12" s="13" t="s">
        <v>46</v>
      </c>
      <c r="D12" s="84">
        <v>315000</v>
      </c>
      <c r="E12" s="9"/>
    </row>
    <row r="13" spans="2:7" ht="15.75" customHeight="1" x14ac:dyDescent="0.2">
      <c r="B13" s="8"/>
      <c r="C13" s="13" t="s">
        <v>47</v>
      </c>
      <c r="D13" s="84">
        <v>48000</v>
      </c>
      <c r="E13" s="9"/>
    </row>
    <row r="14" spans="2:7" ht="15.75" customHeight="1" x14ac:dyDescent="0.2">
      <c r="B14" s="8"/>
      <c r="C14" s="13" t="s">
        <v>48</v>
      </c>
      <c r="D14" s="95">
        <v>5</v>
      </c>
      <c r="E14" s="9"/>
    </row>
    <row r="15" spans="2:7" ht="15.75" customHeight="1" x14ac:dyDescent="0.2">
      <c r="B15" s="8"/>
      <c r="C15" s="13" t="s">
        <v>50</v>
      </c>
      <c r="D15" s="95"/>
      <c r="E15" s="9"/>
    </row>
    <row r="16" spans="2:7" ht="15.75" customHeight="1" x14ac:dyDescent="0.2">
      <c r="B16" s="8"/>
      <c r="C16" s="13" t="s">
        <v>51</v>
      </c>
      <c r="D16" s="84">
        <v>20000</v>
      </c>
      <c r="E16" s="9"/>
    </row>
    <row r="17" spans="2:8" ht="15.75" customHeight="1" x14ac:dyDescent="0.2">
      <c r="B17" s="8"/>
      <c r="C17" s="13" t="s">
        <v>6</v>
      </c>
      <c r="D17" s="83">
        <v>0.35</v>
      </c>
      <c r="E17" s="9"/>
    </row>
    <row r="18" spans="2:8" ht="15.75" customHeight="1" x14ac:dyDescent="0.2">
      <c r="B18" s="8"/>
      <c r="C18" s="13" t="s">
        <v>32</v>
      </c>
      <c r="D18" s="83">
        <v>0.09</v>
      </c>
      <c r="E18" s="9"/>
    </row>
    <row r="19" spans="2:8" ht="15.75" customHeight="1" x14ac:dyDescent="0.2">
      <c r="B19" s="8"/>
      <c r="C19" s="13" t="s">
        <v>52</v>
      </c>
      <c r="D19" s="59"/>
      <c r="E19" s="9"/>
    </row>
    <row r="20" spans="2:8" ht="15.75" customHeight="1" thickBot="1" x14ac:dyDescent="0.25">
      <c r="B20" s="10"/>
      <c r="C20" s="28"/>
      <c r="D20" s="61"/>
      <c r="E20" s="12"/>
    </row>
    <row r="21" spans="2:8" ht="15.75" customHeight="1" x14ac:dyDescent="0.2"/>
    <row r="22" spans="2:8" ht="15.75" customHeight="1" x14ac:dyDescent="0.2">
      <c r="C22" s="2" t="s">
        <v>2</v>
      </c>
    </row>
    <row r="23" spans="2:8" ht="15.75" customHeight="1" thickBot="1" x14ac:dyDescent="0.25"/>
    <row r="24" spans="2:8" ht="15.75" customHeight="1" x14ac:dyDescent="0.2">
      <c r="B24" s="15"/>
      <c r="C24" s="16"/>
      <c r="D24" s="16"/>
      <c r="E24" s="16"/>
      <c r="F24" s="16"/>
      <c r="G24" s="17"/>
      <c r="H24" s="30"/>
    </row>
    <row r="25" spans="2:8" ht="15.75" customHeight="1" x14ac:dyDescent="0.2">
      <c r="B25" s="18"/>
      <c r="C25" s="19" t="s">
        <v>53</v>
      </c>
      <c r="D25" s="62"/>
      <c r="E25" s="20"/>
      <c r="F25" s="20"/>
      <c r="G25" s="21"/>
      <c r="H25" s="30"/>
    </row>
    <row r="26" spans="2:8" ht="15.75" customHeight="1" x14ac:dyDescent="0.2">
      <c r="B26" s="18"/>
      <c r="C26" s="19" t="s">
        <v>28</v>
      </c>
      <c r="D26" s="141">
        <f>D16*(1-D17)</f>
        <v>13000</v>
      </c>
      <c r="E26" s="20"/>
      <c r="F26" s="20"/>
      <c r="G26" s="21"/>
      <c r="H26" s="30"/>
    </row>
    <row r="27" spans="2:8" ht="15.75" customHeight="1" x14ac:dyDescent="0.2">
      <c r="B27" s="18"/>
      <c r="C27" s="19" t="s">
        <v>54</v>
      </c>
      <c r="D27" s="141"/>
      <c r="E27" s="20"/>
      <c r="F27" s="20"/>
      <c r="G27" s="21"/>
      <c r="H27" s="30"/>
    </row>
    <row r="28" spans="2:8" ht="15.75" customHeight="1" x14ac:dyDescent="0.2">
      <c r="B28" s="18"/>
      <c r="C28" s="19" t="s">
        <v>11</v>
      </c>
      <c r="D28" s="141">
        <f>(-D9)*(1-D17)+D17*(D8/D10)</f>
        <v>3233.3333333333321</v>
      </c>
      <c r="E28" s="20"/>
      <c r="F28" s="20"/>
      <c r="G28" s="21"/>
      <c r="H28" s="30"/>
    </row>
    <row r="29" spans="2:8" ht="15.75" customHeight="1" x14ac:dyDescent="0.2">
      <c r="B29" s="18"/>
      <c r="C29" s="19" t="s">
        <v>21</v>
      </c>
      <c r="D29" s="141">
        <f>(-D8)+PV(D18,D10,-D28,0,0)+(D26/POWER(1+D18,D10))</f>
        <v>-226777.09533917773</v>
      </c>
      <c r="E29" s="19"/>
      <c r="F29" s="20"/>
      <c r="G29" s="21"/>
      <c r="H29" s="31"/>
    </row>
    <row r="30" spans="2:8" ht="15.75" customHeight="1" x14ac:dyDescent="0.25">
      <c r="B30" s="18"/>
      <c r="C30" s="19" t="s">
        <v>43</v>
      </c>
      <c r="D30" s="138">
        <f>D29/PV(D18,D10,-1,0,0)</f>
        <v>-89589.370366980831</v>
      </c>
      <c r="E30" s="19"/>
      <c r="F30" s="20"/>
      <c r="G30" s="21"/>
      <c r="H30" s="31"/>
    </row>
    <row r="31" spans="2:8" ht="15.75" customHeight="1" x14ac:dyDescent="0.2">
      <c r="B31" s="18"/>
      <c r="C31" s="19" t="s">
        <v>55</v>
      </c>
      <c r="D31" s="142"/>
      <c r="E31" s="19"/>
      <c r="F31" s="20"/>
      <c r="G31" s="21"/>
      <c r="H31" s="31"/>
    </row>
    <row r="32" spans="2:8" ht="15.75" customHeight="1" x14ac:dyDescent="0.2">
      <c r="B32" s="18"/>
      <c r="C32" s="19" t="s">
        <v>11</v>
      </c>
      <c r="D32" s="141">
        <f>(-D13*(1-D17)+D17*(D12/D14))</f>
        <v>-9150</v>
      </c>
      <c r="E32" s="19"/>
      <c r="F32" s="20"/>
      <c r="G32" s="21"/>
      <c r="H32" s="31"/>
    </row>
    <row r="33" spans="2:8" ht="15.75" customHeight="1" x14ac:dyDescent="0.2">
      <c r="B33" s="18"/>
      <c r="C33" s="19" t="s">
        <v>21</v>
      </c>
      <c r="D33" s="141">
        <f>(-D12)+PV(D18,D14,-D32,0,0)+(D26/POWER(1+D18,D14))</f>
        <v>-342141.20103778975</v>
      </c>
      <c r="E33" s="19"/>
      <c r="F33" s="20"/>
      <c r="G33" s="21"/>
      <c r="H33" s="31"/>
    </row>
    <row r="34" spans="2:8" ht="15.75" customHeight="1" x14ac:dyDescent="0.25">
      <c r="B34" s="18"/>
      <c r="C34" s="19" t="s">
        <v>43</v>
      </c>
      <c r="D34" s="138">
        <f>D33/PV(D18,D14,-1,0,0)</f>
        <v>-87961.922000936931</v>
      </c>
      <c r="E34" s="19"/>
      <c r="F34" s="20"/>
      <c r="G34" s="21"/>
      <c r="H34" s="31"/>
    </row>
    <row r="35" spans="2:8" ht="15.75" customHeight="1" x14ac:dyDescent="0.2">
      <c r="B35" s="18"/>
      <c r="C35" s="19"/>
      <c r="D35" s="62"/>
      <c r="E35" s="19"/>
      <c r="F35" s="20"/>
      <c r="G35" s="21"/>
      <c r="H35" s="31"/>
    </row>
    <row r="36" spans="2:8" ht="15.75" customHeight="1" x14ac:dyDescent="0.2">
      <c r="B36" s="18"/>
      <c r="C36" s="19" t="s">
        <v>56</v>
      </c>
      <c r="D36" s="62"/>
      <c r="E36" s="19"/>
      <c r="F36" s="20"/>
      <c r="G36" s="21"/>
      <c r="H36" s="31"/>
    </row>
    <row r="37" spans="2:8" ht="15.75" customHeight="1" x14ac:dyDescent="0.2">
      <c r="B37" s="18"/>
      <c r="C37" s="19" t="s">
        <v>57</v>
      </c>
      <c r="D37" s="62"/>
      <c r="E37" s="19"/>
      <c r="F37" s="20"/>
      <c r="G37" s="21"/>
      <c r="H37" s="31"/>
    </row>
    <row r="38" spans="2:8" ht="15.75" customHeight="1" x14ac:dyDescent="0.2">
      <c r="B38" s="18"/>
      <c r="C38" s="19" t="s">
        <v>86</v>
      </c>
      <c r="D38" s="143" t="str">
        <f>IF(D30&gt;D34,"Techron I","Techron II")</f>
        <v>Techron II</v>
      </c>
      <c r="E38" s="19" t="s">
        <v>87</v>
      </c>
      <c r="F38" s="20"/>
      <c r="G38" s="21"/>
      <c r="H38" s="31"/>
    </row>
    <row r="39" spans="2:8" ht="15.75" customHeight="1" x14ac:dyDescent="0.2">
      <c r="B39" s="18"/>
      <c r="C39" s="19" t="s">
        <v>88</v>
      </c>
      <c r="D39" s="62"/>
      <c r="E39" s="19"/>
      <c r="F39" s="20"/>
      <c r="G39" s="21"/>
      <c r="H39" s="31"/>
    </row>
    <row r="40" spans="2:8" ht="15.75" customHeight="1" thickBot="1" x14ac:dyDescent="0.25">
      <c r="B40" s="23"/>
      <c r="C40" s="53"/>
      <c r="D40" s="63"/>
      <c r="E40" s="24"/>
      <c r="F40" s="24"/>
      <c r="G40" s="25"/>
      <c r="H40" s="30"/>
    </row>
    <row r="41" spans="2:8" ht="15.75" customHeight="1" x14ac:dyDescent="0.2">
      <c r="B41" s="14"/>
      <c r="C41" s="14"/>
      <c r="D41" s="14"/>
      <c r="E41" s="14"/>
      <c r="F41" s="14"/>
      <c r="G41" s="14"/>
      <c r="H41" s="14"/>
    </row>
    <row r="42" spans="2:8" ht="15.75" customHeight="1" x14ac:dyDescent="0.2"/>
    <row r="43" spans="2:8" ht="15.75" customHeight="1" x14ac:dyDescent="0.2">
      <c r="D43" s="26"/>
    </row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140625" bestFit="1" customWidth="1"/>
    <col min="4" max="4" width="18.140625" customWidth="1"/>
    <col min="5" max="5" width="3.140625" customWidth="1"/>
    <col min="6" max="6" width="18.140625" customWidth="1"/>
    <col min="7" max="7" width="3.140625" customWidth="1"/>
    <col min="8" max="8" width="13.8554687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201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96</v>
      </c>
      <c r="D7" s="84">
        <v>730000</v>
      </c>
      <c r="E7" s="9"/>
      <c r="G7" s="57"/>
    </row>
    <row r="8" spans="2:7" ht="15.75" customHeight="1" x14ac:dyDescent="0.2">
      <c r="B8" s="8"/>
      <c r="C8" s="13" t="s">
        <v>435</v>
      </c>
      <c r="D8" s="84">
        <v>270000</v>
      </c>
      <c r="E8" s="9"/>
      <c r="G8" s="57"/>
    </row>
    <row r="9" spans="2:7" ht="15.75" customHeight="1" x14ac:dyDescent="0.2">
      <c r="B9" s="8"/>
      <c r="C9" s="13" t="s">
        <v>51</v>
      </c>
      <c r="D9" s="84">
        <v>70000</v>
      </c>
      <c r="E9" s="9"/>
    </row>
    <row r="10" spans="2:7" ht="15.75" customHeight="1" x14ac:dyDescent="0.2">
      <c r="B10" s="8"/>
      <c r="C10" s="13" t="s">
        <v>62</v>
      </c>
      <c r="D10" s="84">
        <v>20000</v>
      </c>
      <c r="E10" s="9"/>
    </row>
    <row r="11" spans="2:7" ht="15.75" customHeight="1" x14ac:dyDescent="0.2">
      <c r="B11" s="8"/>
      <c r="C11" s="13" t="s">
        <v>63</v>
      </c>
      <c r="D11" s="84">
        <v>3500</v>
      </c>
      <c r="E11" s="9"/>
    </row>
    <row r="12" spans="2:7" ht="15.75" customHeight="1" x14ac:dyDescent="0.2">
      <c r="B12" s="8"/>
      <c r="C12" s="13" t="s">
        <v>6</v>
      </c>
      <c r="D12" s="83">
        <v>0.35</v>
      </c>
      <c r="E12" s="9"/>
    </row>
    <row r="13" spans="2:7" ht="15.75" customHeight="1" x14ac:dyDescent="0.2">
      <c r="B13" s="8"/>
      <c r="C13" s="13" t="s">
        <v>32</v>
      </c>
      <c r="D13" s="83">
        <v>0.08</v>
      </c>
      <c r="E13" s="9"/>
    </row>
    <row r="14" spans="2:7" ht="15.75" customHeight="1" x14ac:dyDescent="0.2">
      <c r="B14" s="8"/>
      <c r="C14" s="13" t="s">
        <v>64</v>
      </c>
      <c r="D14" s="146">
        <v>0.2</v>
      </c>
      <c r="E14" s="9"/>
    </row>
    <row r="15" spans="2:7" ht="15.75" customHeight="1" x14ac:dyDescent="0.2">
      <c r="B15" s="8"/>
      <c r="C15" s="13"/>
      <c r="D15" s="146">
        <v>0.32</v>
      </c>
      <c r="E15" s="9"/>
    </row>
    <row r="16" spans="2:7" ht="15.75" customHeight="1" x14ac:dyDescent="0.2">
      <c r="B16" s="8"/>
      <c r="C16" s="13"/>
      <c r="D16" s="146">
        <v>0.192</v>
      </c>
      <c r="E16" s="9"/>
    </row>
    <row r="17" spans="2:8" ht="15.75" customHeight="1" x14ac:dyDescent="0.2">
      <c r="B17" s="8"/>
      <c r="C17" s="13"/>
      <c r="D17" s="146">
        <v>0.1152</v>
      </c>
      <c r="E17" s="9"/>
    </row>
    <row r="18" spans="2:8" ht="15.75" customHeight="1" thickBot="1" x14ac:dyDescent="0.25">
      <c r="B18" s="10"/>
      <c r="C18" s="65"/>
      <c r="D18" s="65"/>
      <c r="E18" s="12"/>
    </row>
    <row r="19" spans="2:8" ht="15.75" customHeight="1" x14ac:dyDescent="0.2">
      <c r="B19" s="64"/>
      <c r="E19" s="64"/>
    </row>
    <row r="20" spans="2:8" ht="15.75" customHeight="1" x14ac:dyDescent="0.2">
      <c r="C20" s="2" t="s">
        <v>2</v>
      </c>
    </row>
    <row r="21" spans="2:8" ht="15.75" customHeight="1" thickBot="1" x14ac:dyDescent="0.25"/>
    <row r="22" spans="2:8" ht="15.75" customHeight="1" x14ac:dyDescent="0.2">
      <c r="B22" s="68"/>
      <c r="C22" s="69"/>
      <c r="D22" s="69"/>
      <c r="E22" s="69"/>
      <c r="F22" s="69"/>
      <c r="G22" s="72"/>
      <c r="H22" s="14"/>
    </row>
    <row r="23" spans="2:8" ht="15.75" customHeight="1" x14ac:dyDescent="0.2">
      <c r="B23" s="70"/>
      <c r="C23" s="88" t="s">
        <v>24</v>
      </c>
      <c r="D23" s="136" t="s">
        <v>5</v>
      </c>
      <c r="E23" s="19"/>
      <c r="F23" s="76"/>
      <c r="G23" s="22"/>
      <c r="H23" s="30"/>
    </row>
    <row r="24" spans="2:8" ht="15.75" customHeight="1" x14ac:dyDescent="0.2">
      <c r="B24" s="70"/>
      <c r="C24" s="133">
        <v>1</v>
      </c>
      <c r="D24" s="96">
        <f>D7*D14</f>
        <v>146000</v>
      </c>
      <c r="E24" s="73"/>
      <c r="F24" s="77"/>
      <c r="G24" s="22"/>
      <c r="H24" s="30"/>
    </row>
    <row r="25" spans="2:8" ht="15.75" customHeight="1" x14ac:dyDescent="0.2">
      <c r="B25" s="70"/>
      <c r="C25" s="133">
        <v>2</v>
      </c>
      <c r="D25" s="96">
        <f>D7*D15</f>
        <v>233600</v>
      </c>
      <c r="E25" s="73"/>
      <c r="F25" s="77"/>
      <c r="G25" s="22"/>
      <c r="H25" s="31"/>
    </row>
    <row r="26" spans="2:8" ht="15.75" customHeight="1" x14ac:dyDescent="0.2">
      <c r="B26" s="70"/>
      <c r="C26" s="133">
        <v>3</v>
      </c>
      <c r="D26" s="96">
        <f>D7*D16</f>
        <v>140160</v>
      </c>
      <c r="E26" s="73"/>
      <c r="F26" s="77"/>
      <c r="G26" s="22"/>
      <c r="H26" s="30"/>
    </row>
    <row r="27" spans="2:8" ht="15.75" customHeight="1" x14ac:dyDescent="0.2">
      <c r="B27" s="70"/>
      <c r="C27" s="133">
        <v>4</v>
      </c>
      <c r="D27" s="96">
        <f>D7*D17</f>
        <v>84096</v>
      </c>
      <c r="E27" s="73"/>
      <c r="F27" s="77"/>
      <c r="G27" s="22"/>
      <c r="H27" s="30"/>
    </row>
    <row r="28" spans="2:8" ht="15.75" customHeight="1" x14ac:dyDescent="0.2">
      <c r="B28" s="70"/>
      <c r="C28" s="19"/>
      <c r="D28" s="34"/>
      <c r="E28" s="19"/>
      <c r="F28" s="19"/>
      <c r="G28" s="22"/>
      <c r="H28" s="30"/>
    </row>
    <row r="29" spans="2:8" ht="15.75" customHeight="1" x14ac:dyDescent="0.2">
      <c r="B29" s="70"/>
      <c r="C29" s="19" t="s">
        <v>27</v>
      </c>
      <c r="D29" s="223">
        <f>D7-D24-D25-D26-D27</f>
        <v>126144</v>
      </c>
      <c r="E29" s="19"/>
      <c r="F29" s="19"/>
      <c r="G29" s="22"/>
      <c r="H29" s="30"/>
    </row>
    <row r="30" spans="2:8" ht="15.75" customHeight="1" x14ac:dyDescent="0.2">
      <c r="B30" s="70"/>
      <c r="C30" s="19" t="s">
        <v>28</v>
      </c>
      <c r="D30" s="223">
        <f>D9+(D29-D9)*D12</f>
        <v>89650.4</v>
      </c>
      <c r="E30" s="19"/>
      <c r="F30" s="54"/>
      <c r="G30" s="22"/>
      <c r="H30" s="30"/>
    </row>
    <row r="31" spans="2:8" ht="15.75" customHeight="1" x14ac:dyDescent="0.2">
      <c r="B31" s="70"/>
      <c r="C31" s="19"/>
      <c r="D31" s="34"/>
      <c r="E31" s="19"/>
      <c r="F31" s="19"/>
      <c r="G31" s="22"/>
      <c r="H31" s="30"/>
    </row>
    <row r="32" spans="2:8" ht="15.75" customHeight="1" x14ac:dyDescent="0.2">
      <c r="B32" s="70"/>
      <c r="C32" s="88" t="s">
        <v>24</v>
      </c>
      <c r="D32" s="148" t="s">
        <v>11</v>
      </c>
      <c r="E32" s="19"/>
      <c r="F32" s="19"/>
      <c r="G32" s="22"/>
      <c r="H32" s="30"/>
    </row>
    <row r="33" spans="1:8" ht="15.75" customHeight="1" x14ac:dyDescent="0.2">
      <c r="B33" s="70"/>
      <c r="C33" s="19">
        <v>1</v>
      </c>
      <c r="D33" s="223">
        <f>($D$8*(1-$D$12)+(D24*$D$12))</f>
        <v>226600</v>
      </c>
      <c r="E33" s="19"/>
      <c r="F33" s="19"/>
      <c r="G33" s="22"/>
      <c r="H33" s="30"/>
    </row>
    <row r="34" spans="1:8" ht="15.75" customHeight="1" x14ac:dyDescent="0.2">
      <c r="B34" s="70"/>
      <c r="C34" s="19">
        <v>2</v>
      </c>
      <c r="D34" s="223">
        <f>($D$8*(1-$D$12)+(D25*$D$12))</f>
        <v>257260</v>
      </c>
      <c r="E34" s="19"/>
      <c r="F34" s="19"/>
      <c r="G34" s="22"/>
      <c r="H34" s="30"/>
    </row>
    <row r="35" spans="1:8" ht="15.75" customHeight="1" x14ac:dyDescent="0.2">
      <c r="B35" s="70"/>
      <c r="C35" s="19">
        <v>3</v>
      </c>
      <c r="D35" s="223">
        <f>($D$8*(1-$D$12)+(D26*$D$12))</f>
        <v>224556</v>
      </c>
      <c r="E35" s="19"/>
      <c r="F35" s="19"/>
      <c r="G35" s="22"/>
      <c r="H35" s="30"/>
    </row>
    <row r="36" spans="1:8" ht="15.75" customHeight="1" x14ac:dyDescent="0.2">
      <c r="B36" s="70"/>
      <c r="C36" s="19">
        <v>4</v>
      </c>
      <c r="D36" s="397">
        <f>($D$8*(1-$D$12)+(D27*$D$12))</f>
        <v>204933.6</v>
      </c>
      <c r="E36" s="19"/>
      <c r="F36" s="19"/>
      <c r="G36" s="22"/>
      <c r="H36" s="30"/>
    </row>
    <row r="37" spans="1:8" ht="15.75" customHeight="1" x14ac:dyDescent="0.2">
      <c r="B37" s="70"/>
      <c r="C37" s="19"/>
      <c r="D37" s="34"/>
      <c r="E37" s="19"/>
      <c r="F37" s="19"/>
      <c r="G37" s="22"/>
      <c r="H37" s="30"/>
    </row>
    <row r="38" spans="1:8" ht="15.75" customHeight="1" x14ac:dyDescent="0.2">
      <c r="B38" s="70"/>
      <c r="C38" s="88" t="s">
        <v>24</v>
      </c>
      <c r="D38" s="148" t="s">
        <v>120</v>
      </c>
      <c r="E38" s="19"/>
      <c r="F38" s="19"/>
      <c r="G38" s="22"/>
      <c r="H38" s="30"/>
    </row>
    <row r="39" spans="1:8" ht="15.75" customHeight="1" x14ac:dyDescent="0.2">
      <c r="B39" s="70"/>
      <c r="C39" s="19">
        <v>0</v>
      </c>
      <c r="D39" s="223">
        <f>-D7-D10</f>
        <v>-750000</v>
      </c>
      <c r="E39" s="19"/>
      <c r="F39" s="19"/>
      <c r="G39" s="22"/>
      <c r="H39" s="30"/>
    </row>
    <row r="40" spans="1:8" ht="15.75" customHeight="1" x14ac:dyDescent="0.2">
      <c r="B40" s="70"/>
      <c r="C40" s="19">
        <v>1</v>
      </c>
      <c r="D40" s="223">
        <f>($D$8*(1-$D$12)+(D24*$D$12))-$D$11</f>
        <v>223100</v>
      </c>
      <c r="E40" s="19"/>
      <c r="F40" s="19"/>
      <c r="G40" s="22"/>
      <c r="H40" s="30"/>
    </row>
    <row r="41" spans="1:8" ht="15.75" customHeight="1" x14ac:dyDescent="0.2">
      <c r="B41" s="70"/>
      <c r="C41" s="19">
        <v>2</v>
      </c>
      <c r="D41" s="223">
        <f>($D$8*(1-$D$12)+(D25*$D$12))-$D$11</f>
        <v>253760</v>
      </c>
      <c r="E41" s="19"/>
      <c r="F41" s="19"/>
      <c r="G41" s="22"/>
      <c r="H41" s="30"/>
    </row>
    <row r="42" spans="1:8" ht="15.75" customHeight="1" x14ac:dyDescent="0.2">
      <c r="B42" s="70"/>
      <c r="C42" s="19">
        <v>3</v>
      </c>
      <c r="D42" s="223">
        <f>($D$8*(1-$D$12)+(D26*$D$12))-$D$11</f>
        <v>221056</v>
      </c>
      <c r="E42" s="19"/>
      <c r="F42" s="19"/>
      <c r="G42" s="22"/>
      <c r="H42" s="30"/>
    </row>
    <row r="43" spans="1:8" ht="15.75" customHeight="1" x14ac:dyDescent="0.2">
      <c r="B43" s="70"/>
      <c r="C43" s="19">
        <v>4</v>
      </c>
      <c r="D43" s="223">
        <f>($D$8*(1-$D$12)+(D27*$D$12))+(D10+D11+D11+D11)+D30</f>
        <v>325084</v>
      </c>
      <c r="E43" s="19"/>
      <c r="F43" s="19"/>
      <c r="G43" s="22"/>
      <c r="H43" s="30"/>
    </row>
    <row r="44" spans="1:8" ht="15.75" customHeight="1" x14ac:dyDescent="0.2">
      <c r="B44" s="70"/>
      <c r="C44" s="19"/>
      <c r="D44" s="34"/>
      <c r="E44" s="19"/>
      <c r="F44" s="19"/>
      <c r="G44" s="22"/>
      <c r="H44" s="30"/>
    </row>
    <row r="45" spans="1:8" ht="15.75" customHeight="1" x14ac:dyDescent="0.25">
      <c r="B45" s="70"/>
      <c r="C45" s="19" t="s">
        <v>21</v>
      </c>
      <c r="D45" s="130">
        <f>NPV(D13,D40:D43)+D39</f>
        <v>88560.197651291382</v>
      </c>
      <c r="E45" s="19"/>
      <c r="F45" s="19"/>
      <c r="G45" s="22"/>
      <c r="H45" s="30"/>
    </row>
    <row r="46" spans="1:8" ht="15.75" customHeight="1" thickBot="1" x14ac:dyDescent="0.25">
      <c r="B46" s="71"/>
      <c r="C46" s="53"/>
      <c r="D46" s="67"/>
      <c r="E46" s="53"/>
      <c r="F46" s="53"/>
      <c r="G46" s="51"/>
      <c r="H46" s="30"/>
    </row>
    <row r="47" spans="1:8" ht="15.75" customHeight="1" x14ac:dyDescent="0.2">
      <c r="A47" s="44"/>
      <c r="B47" s="30"/>
      <c r="C47" s="30"/>
      <c r="D47" s="30"/>
      <c r="E47" s="30"/>
      <c r="F47" s="30"/>
      <c r="G47" s="30"/>
      <c r="H47" s="30"/>
    </row>
    <row r="48" spans="1:8" ht="15.75" customHeight="1" x14ac:dyDescent="0.2">
      <c r="A48" s="44"/>
      <c r="B48" s="14"/>
      <c r="C48" s="44"/>
      <c r="D48" s="44"/>
      <c r="E48" s="14"/>
      <c r="F48" s="14"/>
      <c r="G48" s="14"/>
      <c r="H48" s="14"/>
    </row>
    <row r="49" spans="4:4" ht="15.75" customHeight="1" x14ac:dyDescent="0.2">
      <c r="D49" s="26"/>
    </row>
    <row r="50" spans="4:4" ht="15.75" customHeight="1" x14ac:dyDescent="0.2"/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8.140625" customWidth="1"/>
    <col min="5" max="5" width="3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202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68</v>
      </c>
      <c r="D7" s="27"/>
      <c r="E7" s="9"/>
      <c r="G7" s="57"/>
    </row>
    <row r="8" spans="2:7" ht="15.75" customHeight="1" x14ac:dyDescent="0.2">
      <c r="B8" s="8"/>
      <c r="C8" s="13" t="s">
        <v>58</v>
      </c>
      <c r="D8" s="84">
        <v>290000</v>
      </c>
      <c r="E8" s="9"/>
      <c r="G8" s="57"/>
    </row>
    <row r="9" spans="2:7" ht="15.75" customHeight="1" x14ac:dyDescent="0.2">
      <c r="B9" s="8"/>
      <c r="C9" s="13" t="s">
        <v>66</v>
      </c>
      <c r="D9" s="84">
        <v>89000</v>
      </c>
      <c r="E9" s="9"/>
    </row>
    <row r="10" spans="2:7" ht="15.75" customHeight="1" x14ac:dyDescent="0.2">
      <c r="B10" s="8"/>
      <c r="C10" s="13" t="s">
        <v>48</v>
      </c>
      <c r="D10" s="144">
        <v>4</v>
      </c>
      <c r="E10" s="9"/>
    </row>
    <row r="11" spans="2:7" ht="15.75" customHeight="1" x14ac:dyDescent="0.2">
      <c r="B11" s="8"/>
      <c r="C11" s="13" t="s">
        <v>67</v>
      </c>
      <c r="D11" s="145"/>
      <c r="E11" s="9"/>
    </row>
    <row r="12" spans="2:7" ht="15.75" customHeight="1" x14ac:dyDescent="0.2">
      <c r="B12" s="8"/>
      <c r="C12" s="13" t="s">
        <v>58</v>
      </c>
      <c r="D12" s="84">
        <v>410000</v>
      </c>
      <c r="E12" s="9"/>
    </row>
    <row r="13" spans="2:7" ht="15.75" customHeight="1" x14ac:dyDescent="0.2">
      <c r="B13" s="8"/>
      <c r="C13" s="13" t="s">
        <v>66</v>
      </c>
      <c r="D13" s="84">
        <v>79000</v>
      </c>
      <c r="E13" s="9"/>
    </row>
    <row r="14" spans="2:7" ht="15.75" customHeight="1" x14ac:dyDescent="0.2">
      <c r="B14" s="8"/>
      <c r="C14" s="13" t="s">
        <v>48</v>
      </c>
      <c r="D14" s="144">
        <v>6</v>
      </c>
      <c r="E14" s="9"/>
    </row>
    <row r="15" spans="2:7" ht="15.75" customHeight="1" x14ac:dyDescent="0.2">
      <c r="B15" s="8"/>
      <c r="C15" s="13" t="s">
        <v>50</v>
      </c>
      <c r="D15" s="145"/>
      <c r="E15" s="9"/>
    </row>
    <row r="16" spans="2:7" ht="15.75" customHeight="1" x14ac:dyDescent="0.2">
      <c r="B16" s="8"/>
      <c r="C16" s="13" t="s">
        <v>6</v>
      </c>
      <c r="D16" s="83">
        <v>0.34</v>
      </c>
      <c r="E16" s="9"/>
    </row>
    <row r="17" spans="2:8" ht="15.75" customHeight="1" x14ac:dyDescent="0.2">
      <c r="B17" s="8"/>
      <c r="C17" s="13" t="s">
        <v>32</v>
      </c>
      <c r="D17" s="403">
        <v>7.4999999999999997E-2</v>
      </c>
      <c r="E17" s="9"/>
    </row>
    <row r="18" spans="2:8" ht="15.75" customHeight="1" x14ac:dyDescent="0.2">
      <c r="B18" s="8"/>
      <c r="C18" s="13" t="s">
        <v>35</v>
      </c>
      <c r="D18" s="95"/>
      <c r="E18" s="9"/>
    </row>
    <row r="19" spans="2:8" ht="15.75" customHeight="1" thickBot="1" x14ac:dyDescent="0.25">
      <c r="B19" s="10"/>
      <c r="C19" s="65"/>
      <c r="D19" s="65"/>
      <c r="E19" s="12"/>
    </row>
    <row r="20" spans="2:8" ht="15.75" customHeight="1" x14ac:dyDescent="0.2">
      <c r="B20" s="64"/>
      <c r="E20" s="64"/>
    </row>
    <row r="21" spans="2:8" ht="15.75" customHeight="1" x14ac:dyDescent="0.2">
      <c r="C21" s="2" t="s">
        <v>2</v>
      </c>
    </row>
    <row r="22" spans="2:8" ht="15.75" customHeight="1" thickBot="1" x14ac:dyDescent="0.25"/>
    <row r="23" spans="2:8" ht="15.75" customHeight="1" x14ac:dyDescent="0.2">
      <c r="B23" s="15"/>
      <c r="C23" s="16"/>
      <c r="D23" s="16"/>
      <c r="E23" s="17"/>
    </row>
    <row r="24" spans="2:8" ht="15.75" customHeight="1" x14ac:dyDescent="0.2">
      <c r="B24" s="18"/>
      <c r="C24" s="19" t="s">
        <v>68</v>
      </c>
      <c r="D24" s="60"/>
      <c r="E24" s="21"/>
      <c r="F24" s="30"/>
      <c r="G24" s="30"/>
      <c r="H24" s="30"/>
    </row>
    <row r="25" spans="2:8" ht="15.75" customHeight="1" x14ac:dyDescent="0.2">
      <c r="B25" s="18"/>
      <c r="C25" s="19" t="s">
        <v>11</v>
      </c>
      <c r="D25" s="96">
        <f>(-D9*(1-D16)+D16*(D8/D10))</f>
        <v>-34089.999999999993</v>
      </c>
      <c r="E25" s="21"/>
      <c r="F25" s="30"/>
      <c r="G25" s="30"/>
      <c r="H25" s="30"/>
    </row>
    <row r="26" spans="2:8" ht="15.75" customHeight="1" x14ac:dyDescent="0.2">
      <c r="B26" s="18"/>
      <c r="C26" s="19" t="s">
        <v>21</v>
      </c>
      <c r="D26" s="141">
        <f>(-D8)-PV(D17,D10,D25,0,0)</f>
        <v>-404178.53253231174</v>
      </c>
      <c r="E26" s="22"/>
      <c r="F26" s="30"/>
      <c r="G26" s="30"/>
      <c r="H26" s="31"/>
    </row>
    <row r="27" spans="2:8" ht="15.75" customHeight="1" x14ac:dyDescent="0.2">
      <c r="B27" s="18"/>
      <c r="C27" s="19" t="s">
        <v>67</v>
      </c>
      <c r="D27" s="79"/>
      <c r="E27" s="21"/>
      <c r="F27" s="30"/>
      <c r="G27" s="30"/>
      <c r="H27" s="30"/>
    </row>
    <row r="28" spans="2:8" ht="15.75" customHeight="1" x14ac:dyDescent="0.2">
      <c r="B28" s="18"/>
      <c r="C28" s="19" t="s">
        <v>11</v>
      </c>
      <c r="D28" s="79">
        <f>(-D13)*(1-D16)+D16*(D12/D14)</f>
        <v>-28906.666666666661</v>
      </c>
      <c r="E28" s="21"/>
      <c r="F28" s="30"/>
      <c r="G28" s="30"/>
      <c r="H28" s="30"/>
    </row>
    <row r="29" spans="2:8" ht="15.75" customHeight="1" x14ac:dyDescent="0.2">
      <c r="B29" s="18"/>
      <c r="C29" s="19" t="s">
        <v>21</v>
      </c>
      <c r="D29" s="86">
        <f>(-D12)-PV(D17,D14,D28,0,0)</f>
        <v>-545683.45386086986</v>
      </c>
      <c r="E29" s="21"/>
      <c r="F29" s="30"/>
      <c r="G29" s="30"/>
      <c r="H29" s="30"/>
    </row>
    <row r="30" spans="2:8" ht="15.75" customHeight="1" x14ac:dyDescent="0.2">
      <c r="B30" s="18"/>
      <c r="C30" s="19"/>
      <c r="D30" s="86"/>
      <c r="E30" s="21"/>
      <c r="F30" s="30"/>
      <c r="G30" s="30"/>
      <c r="H30" s="30"/>
    </row>
    <row r="31" spans="2:8" ht="15.75" customHeight="1" x14ac:dyDescent="0.2">
      <c r="B31" s="18"/>
      <c r="C31" s="19" t="s">
        <v>69</v>
      </c>
      <c r="D31" s="19"/>
      <c r="E31" s="21"/>
      <c r="F31" s="30"/>
      <c r="G31" s="30"/>
      <c r="H31" s="30"/>
    </row>
    <row r="32" spans="2:8" ht="15.75" customHeight="1" x14ac:dyDescent="0.25">
      <c r="B32" s="18"/>
      <c r="C32" s="19" t="s">
        <v>97</v>
      </c>
      <c r="D32" s="74" t="str">
        <f>IF(D26&gt;D29,"System A","System B")</f>
        <v>System A</v>
      </c>
      <c r="E32" s="21"/>
      <c r="F32" s="30"/>
      <c r="G32" s="30"/>
      <c r="H32" s="30"/>
    </row>
    <row r="33" spans="2:8" ht="15.75" customHeight="1" x14ac:dyDescent="0.2">
      <c r="B33" s="18"/>
      <c r="C33" s="19" t="s">
        <v>448</v>
      </c>
      <c r="D33" s="19"/>
      <c r="E33" s="21"/>
      <c r="F33" s="30"/>
      <c r="G33" s="30"/>
      <c r="H33" s="30"/>
    </row>
    <row r="34" spans="2:8" ht="15.75" customHeight="1" x14ac:dyDescent="0.2">
      <c r="B34" s="18"/>
      <c r="C34" s="19" t="s">
        <v>449</v>
      </c>
      <c r="D34" s="19"/>
      <c r="E34" s="21"/>
      <c r="F34" s="30"/>
      <c r="G34" s="30"/>
      <c r="H34" s="30"/>
    </row>
    <row r="35" spans="2:8" ht="15.75" customHeight="1" thickBot="1" x14ac:dyDescent="0.25">
      <c r="B35" s="23"/>
      <c r="C35" s="24"/>
      <c r="D35" s="24"/>
      <c r="E35" s="25"/>
      <c r="F35" s="30"/>
      <c r="G35" s="30"/>
      <c r="H35" s="30"/>
    </row>
    <row r="36" spans="2:8" ht="15.75" customHeight="1" x14ac:dyDescent="0.2">
      <c r="B36" s="14"/>
      <c r="E36" s="14"/>
      <c r="F36" s="14"/>
      <c r="G36" s="14"/>
      <c r="H36" s="14"/>
    </row>
    <row r="37" spans="2:8" ht="15.75" customHeight="1" x14ac:dyDescent="0.2">
      <c r="D37" s="26"/>
    </row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26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68</v>
      </c>
      <c r="D7" s="27"/>
      <c r="E7" s="9"/>
      <c r="G7" s="57"/>
    </row>
    <row r="8" spans="2:7" ht="15.75" customHeight="1" x14ac:dyDescent="0.2">
      <c r="B8" s="8"/>
      <c r="C8" s="13" t="s">
        <v>21</v>
      </c>
      <c r="D8" s="149">
        <f>'#12'!D26</f>
        <v>-404178.53253231174</v>
      </c>
      <c r="E8" s="9"/>
    </row>
    <row r="9" spans="2:7" ht="15.75" customHeight="1" x14ac:dyDescent="0.2">
      <c r="B9" s="8"/>
      <c r="C9" s="13" t="s">
        <v>98</v>
      </c>
      <c r="D9" s="150">
        <f>'#12'!D10</f>
        <v>4</v>
      </c>
      <c r="E9" s="9"/>
    </row>
    <row r="10" spans="2:7" ht="15.75" customHeight="1" x14ac:dyDescent="0.2">
      <c r="B10" s="8"/>
      <c r="C10" s="13" t="s">
        <v>67</v>
      </c>
      <c r="D10" s="151"/>
      <c r="E10" s="9"/>
    </row>
    <row r="11" spans="2:7" ht="15.75" customHeight="1" x14ac:dyDescent="0.2">
      <c r="B11" s="8"/>
      <c r="C11" s="13" t="s">
        <v>21</v>
      </c>
      <c r="D11" s="149">
        <f>'#12'!D29</f>
        <v>-545683.45386086986</v>
      </c>
      <c r="E11" s="9"/>
    </row>
    <row r="12" spans="2:7" ht="15.75" customHeight="1" x14ac:dyDescent="0.2">
      <c r="B12" s="8"/>
      <c r="C12" s="13" t="s">
        <v>98</v>
      </c>
      <c r="D12" s="129">
        <f>'#12'!D14</f>
        <v>6</v>
      </c>
      <c r="E12" s="9"/>
    </row>
    <row r="13" spans="2:7" ht="15.75" customHeight="1" x14ac:dyDescent="0.2">
      <c r="B13" s="8"/>
      <c r="C13" s="13"/>
      <c r="D13" s="132"/>
      <c r="E13" s="9"/>
    </row>
    <row r="14" spans="2:7" ht="15.75" customHeight="1" x14ac:dyDescent="0.2">
      <c r="B14" s="8"/>
      <c r="C14" s="13" t="s">
        <v>32</v>
      </c>
      <c r="D14" s="131">
        <f>'#12'!D17</f>
        <v>7.4999999999999997E-2</v>
      </c>
      <c r="E14" s="9"/>
    </row>
    <row r="15" spans="2:7" ht="15.75" customHeight="1" thickBot="1" x14ac:dyDescent="0.25">
      <c r="B15" s="10"/>
      <c r="C15" s="65"/>
      <c r="D15" s="65"/>
      <c r="E15" s="12"/>
    </row>
    <row r="16" spans="2:7" ht="15.75" customHeight="1" x14ac:dyDescent="0.2">
      <c r="B16" s="64"/>
      <c r="E16" s="64"/>
    </row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</row>
    <row r="20" spans="2:8" ht="15.75" customHeight="1" x14ac:dyDescent="0.2">
      <c r="B20" s="18"/>
      <c r="C20" s="19" t="s">
        <v>68</v>
      </c>
      <c r="D20" s="60"/>
      <c r="E20" s="21"/>
      <c r="F20" s="30"/>
      <c r="G20" s="30"/>
      <c r="H20" s="30"/>
    </row>
    <row r="21" spans="2:8" ht="15.75" customHeight="1" x14ac:dyDescent="0.25">
      <c r="B21" s="18"/>
      <c r="C21" s="19" t="s">
        <v>43</v>
      </c>
      <c r="D21" s="138">
        <f>PMT(D14,D9,-D8)</f>
        <v>-120674.57750980726</v>
      </c>
      <c r="E21" s="21"/>
      <c r="F21" s="30"/>
      <c r="G21" s="30"/>
      <c r="H21" s="30"/>
    </row>
    <row r="22" spans="2:8" ht="15.75" customHeight="1" x14ac:dyDescent="0.25">
      <c r="B22" s="18"/>
      <c r="C22" s="19" t="s">
        <v>67</v>
      </c>
      <c r="D22" s="87"/>
      <c r="E22" s="21"/>
      <c r="F22" s="30"/>
      <c r="G22" s="30"/>
      <c r="H22" s="30"/>
    </row>
    <row r="23" spans="2:8" ht="15.75" customHeight="1" x14ac:dyDescent="0.25">
      <c r="B23" s="18"/>
      <c r="C23" s="19" t="s">
        <v>43</v>
      </c>
      <c r="D23" s="130">
        <f>PMT(D14,D12,-D11)</f>
        <v>-116255.07206240573</v>
      </c>
      <c r="E23" s="21"/>
      <c r="F23" s="30"/>
      <c r="G23" s="30"/>
      <c r="H23" s="30"/>
    </row>
    <row r="24" spans="2:8" ht="15.75" customHeight="1" x14ac:dyDescent="0.25">
      <c r="B24" s="18"/>
      <c r="C24" s="19"/>
      <c r="D24" s="87"/>
      <c r="E24" s="21"/>
      <c r="F24" s="30"/>
      <c r="G24" s="30"/>
      <c r="H24" s="30"/>
    </row>
    <row r="25" spans="2:8" ht="15.75" customHeight="1" x14ac:dyDescent="0.25">
      <c r="B25" s="18"/>
      <c r="C25" s="19" t="s">
        <v>101</v>
      </c>
      <c r="D25" s="74" t="str">
        <f>IF(D21&gt;D23,"System A","System B")</f>
        <v>System B</v>
      </c>
      <c r="E25" s="21"/>
      <c r="F25" s="30"/>
      <c r="G25" s="30"/>
      <c r="H25" s="30"/>
    </row>
    <row r="26" spans="2:8" ht="15.75" customHeight="1" x14ac:dyDescent="0.2">
      <c r="B26" s="18"/>
      <c r="C26" s="19" t="s">
        <v>100</v>
      </c>
      <c r="D26" s="19"/>
      <c r="E26" s="21"/>
      <c r="F26" s="30"/>
      <c r="G26" s="30"/>
      <c r="H26" s="30"/>
    </row>
    <row r="27" spans="2:8" ht="15.75" customHeight="1" x14ac:dyDescent="0.2">
      <c r="B27" s="18"/>
      <c r="C27" s="19" t="s">
        <v>99</v>
      </c>
      <c r="D27" s="19"/>
      <c r="E27" s="21"/>
      <c r="F27" s="30"/>
      <c r="G27" s="30"/>
      <c r="H27" s="30"/>
    </row>
    <row r="28" spans="2:8" ht="15.75" customHeight="1" thickBot="1" x14ac:dyDescent="0.25">
      <c r="B28" s="23"/>
      <c r="C28" s="24"/>
      <c r="D28" s="24"/>
      <c r="E28" s="25"/>
      <c r="F28" s="30"/>
      <c r="G28" s="30"/>
      <c r="H28" s="30"/>
    </row>
    <row r="29" spans="2:8" ht="15.75" customHeight="1" x14ac:dyDescent="0.2">
      <c r="B29" s="14"/>
      <c r="E29" s="14"/>
      <c r="F29" s="14"/>
      <c r="G29" s="14"/>
      <c r="H29" s="14"/>
    </row>
    <row r="30" spans="2:8" ht="15.75" customHeight="1" x14ac:dyDescent="0.2">
      <c r="D30" s="26"/>
    </row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6" width="20.5703125" customWidth="1"/>
    <col min="7" max="7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29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151</v>
      </c>
      <c r="D7" s="27"/>
      <c r="E7" s="9"/>
    </row>
    <row r="8" spans="2:5" ht="15.75" customHeight="1" x14ac:dyDescent="0.2">
      <c r="B8" s="8"/>
      <c r="C8" s="13" t="s">
        <v>58</v>
      </c>
      <c r="D8" s="84">
        <v>3100000</v>
      </c>
      <c r="E8" s="9"/>
    </row>
    <row r="9" spans="2:5" ht="15.75" customHeight="1" x14ac:dyDescent="0.2">
      <c r="B9" s="8"/>
      <c r="C9" s="13" t="s">
        <v>80</v>
      </c>
      <c r="D9" s="152">
        <v>0.35</v>
      </c>
      <c r="E9" s="9"/>
    </row>
    <row r="10" spans="2:5" ht="15.75" customHeight="1" x14ac:dyDescent="0.2">
      <c r="B10" s="8"/>
      <c r="C10" s="13" t="s">
        <v>81</v>
      </c>
      <c r="D10" s="84">
        <v>204000</v>
      </c>
      <c r="E10" s="9"/>
    </row>
    <row r="11" spans="2:5" ht="15.75" customHeight="1" x14ac:dyDescent="0.2">
      <c r="B11" s="8"/>
      <c r="C11" s="13" t="s">
        <v>48</v>
      </c>
      <c r="D11" s="144">
        <v>6</v>
      </c>
      <c r="E11" s="9"/>
    </row>
    <row r="12" spans="2:5" ht="15.75" customHeight="1" x14ac:dyDescent="0.2">
      <c r="B12" s="8"/>
      <c r="C12" s="13" t="s">
        <v>152</v>
      </c>
      <c r="D12" s="145"/>
      <c r="E12" s="9"/>
    </row>
    <row r="13" spans="2:5" ht="15.75" customHeight="1" x14ac:dyDescent="0.2">
      <c r="B13" s="8"/>
      <c r="C13" s="13" t="s">
        <v>58</v>
      </c>
      <c r="D13" s="84">
        <v>6100000</v>
      </c>
      <c r="E13" s="9"/>
    </row>
    <row r="14" spans="2:5" ht="15.75" customHeight="1" x14ac:dyDescent="0.2">
      <c r="B14" s="8"/>
      <c r="C14" s="13" t="s">
        <v>80</v>
      </c>
      <c r="D14" s="152">
        <v>0.3</v>
      </c>
      <c r="E14" s="9"/>
    </row>
    <row r="15" spans="2:5" ht="15.75" customHeight="1" x14ac:dyDescent="0.2">
      <c r="B15" s="8"/>
      <c r="C15" s="13" t="s">
        <v>81</v>
      </c>
      <c r="D15" s="84">
        <v>165000</v>
      </c>
      <c r="E15" s="9"/>
    </row>
    <row r="16" spans="2:5" ht="15.75" customHeight="1" x14ac:dyDescent="0.2">
      <c r="B16" s="8"/>
      <c r="C16" s="13" t="s">
        <v>48</v>
      </c>
      <c r="D16" s="144">
        <v>9</v>
      </c>
      <c r="E16" s="9"/>
    </row>
    <row r="17" spans="1:8" ht="15.75" customHeight="1" x14ac:dyDescent="0.2">
      <c r="B17" s="8"/>
      <c r="C17" s="13" t="s">
        <v>50</v>
      </c>
      <c r="D17" s="145"/>
      <c r="E17" s="9"/>
    </row>
    <row r="18" spans="1:8" ht="15.75" customHeight="1" x14ac:dyDescent="0.2">
      <c r="B18" s="8"/>
      <c r="C18" s="13" t="s">
        <v>10</v>
      </c>
      <c r="D18" s="84">
        <v>13500000</v>
      </c>
      <c r="E18" s="9"/>
    </row>
    <row r="19" spans="1:8" ht="15.75" customHeight="1" x14ac:dyDescent="0.2">
      <c r="B19" s="8"/>
      <c r="C19" s="13" t="s">
        <v>6</v>
      </c>
      <c r="D19" s="83">
        <v>0.35</v>
      </c>
      <c r="E19" s="9"/>
    </row>
    <row r="20" spans="1:8" ht="15.75" customHeight="1" x14ac:dyDescent="0.2">
      <c r="B20" s="8"/>
      <c r="C20" s="13" t="s">
        <v>32</v>
      </c>
      <c r="D20" s="83">
        <v>0.1</v>
      </c>
      <c r="E20" s="9"/>
    </row>
    <row r="21" spans="1:8" ht="15.75" customHeight="1" x14ac:dyDescent="0.2">
      <c r="B21" s="8"/>
      <c r="C21" s="13" t="s">
        <v>35</v>
      </c>
      <c r="D21" s="95"/>
      <c r="E21" s="9"/>
    </row>
    <row r="22" spans="1:8" ht="15.75" customHeight="1" thickBot="1" x14ac:dyDescent="0.25">
      <c r="B22" s="10"/>
      <c r="C22" s="65"/>
      <c r="D22" s="65"/>
      <c r="E22" s="12"/>
    </row>
    <row r="23" spans="1:8" ht="15.75" customHeight="1" x14ac:dyDescent="0.2">
      <c r="B23" s="64"/>
      <c r="E23" s="64"/>
    </row>
    <row r="24" spans="1:8" ht="15.75" customHeight="1" x14ac:dyDescent="0.2">
      <c r="C24" s="2" t="s">
        <v>2</v>
      </c>
    </row>
    <row r="25" spans="1:8" ht="15.75" customHeight="1" thickBot="1" x14ac:dyDescent="0.25"/>
    <row r="26" spans="1:8" ht="15.75" customHeight="1" x14ac:dyDescent="0.2">
      <c r="B26" s="15"/>
      <c r="C26" s="16"/>
      <c r="D26" s="16"/>
      <c r="E26" s="16"/>
      <c r="F26" s="216"/>
      <c r="G26" s="178"/>
    </row>
    <row r="27" spans="1:8" ht="15.75" customHeight="1" x14ac:dyDescent="0.2">
      <c r="A27" s="200"/>
      <c r="B27" s="201"/>
      <c r="C27" s="202"/>
      <c r="D27" s="203" t="s">
        <v>153</v>
      </c>
      <c r="E27" s="203"/>
      <c r="F27" s="217" t="s">
        <v>154</v>
      </c>
      <c r="G27" s="215"/>
      <c r="H27" s="200"/>
    </row>
    <row r="28" spans="1:8" ht="15.75" customHeight="1" x14ac:dyDescent="0.2">
      <c r="A28" s="200"/>
      <c r="B28" s="201"/>
      <c r="C28" s="202" t="s">
        <v>80</v>
      </c>
      <c r="D28" s="206">
        <f>D18*-D9</f>
        <v>-4725000</v>
      </c>
      <c r="E28" s="206"/>
      <c r="F28" s="206">
        <f>D18*-D14</f>
        <v>-4050000</v>
      </c>
      <c r="G28" s="215"/>
      <c r="H28" s="200"/>
    </row>
    <row r="29" spans="1:8" ht="15.75" customHeight="1" x14ac:dyDescent="0.2">
      <c r="A29" s="200"/>
      <c r="B29" s="201"/>
      <c r="C29" s="202" t="s">
        <v>81</v>
      </c>
      <c r="D29" s="209">
        <f>-D10</f>
        <v>-204000</v>
      </c>
      <c r="E29" s="209"/>
      <c r="F29" s="209">
        <f>-D15</f>
        <v>-165000</v>
      </c>
      <c r="G29" s="215"/>
      <c r="H29" s="200"/>
    </row>
    <row r="30" spans="1:8" ht="15.75" customHeight="1" x14ac:dyDescent="0.2">
      <c r="A30" s="200"/>
      <c r="B30" s="201"/>
      <c r="C30" s="202" t="s">
        <v>5</v>
      </c>
      <c r="D30" s="210">
        <f>-D8/D11</f>
        <v>-516666.66666666669</v>
      </c>
      <c r="E30" s="209"/>
      <c r="F30" s="210">
        <f>D13/-D16</f>
        <v>-677777.77777777775</v>
      </c>
      <c r="G30" s="215"/>
      <c r="H30" s="200"/>
    </row>
    <row r="31" spans="1:8" ht="15.75" customHeight="1" x14ac:dyDescent="0.2">
      <c r="A31" s="200"/>
      <c r="B31" s="201"/>
      <c r="C31" s="202" t="s">
        <v>8</v>
      </c>
      <c r="D31" s="206">
        <f>D28+D29+D30</f>
        <v>-5445666.666666667</v>
      </c>
      <c r="E31" s="206"/>
      <c r="F31" s="206">
        <f>F28+F29+F30</f>
        <v>-4892777.777777778</v>
      </c>
      <c r="G31" s="215"/>
      <c r="H31" s="200"/>
    </row>
    <row r="32" spans="1:8" ht="15.75" customHeight="1" x14ac:dyDescent="0.2">
      <c r="A32" s="200"/>
      <c r="B32" s="201"/>
      <c r="C32" s="202" t="s">
        <v>155</v>
      </c>
      <c r="D32" s="211">
        <f>D31*-D19</f>
        <v>1905983.3333333333</v>
      </c>
      <c r="E32" s="213"/>
      <c r="F32" s="211">
        <f>-F31*D19</f>
        <v>1712472.2222222222</v>
      </c>
      <c r="G32" s="215"/>
      <c r="H32" s="200"/>
    </row>
    <row r="33" spans="1:8" ht="15.75" customHeight="1" x14ac:dyDescent="0.2">
      <c r="A33" s="200"/>
      <c r="B33" s="201"/>
      <c r="C33" s="202" t="s">
        <v>115</v>
      </c>
      <c r="D33" s="206">
        <f>D31+D32</f>
        <v>-3539683.333333334</v>
      </c>
      <c r="E33" s="214"/>
      <c r="F33" s="206">
        <f>F31+F32</f>
        <v>-3180305.555555556</v>
      </c>
      <c r="G33" s="215"/>
      <c r="H33" s="200"/>
    </row>
    <row r="34" spans="1:8" ht="15.75" customHeight="1" x14ac:dyDescent="0.2">
      <c r="A34" s="200"/>
      <c r="B34" s="201"/>
      <c r="C34" s="208" t="s">
        <v>156</v>
      </c>
      <c r="D34" s="210">
        <f>-D30</f>
        <v>516666.66666666669</v>
      </c>
      <c r="E34" s="206"/>
      <c r="F34" s="210">
        <f>-F30</f>
        <v>677777.77777777775</v>
      </c>
      <c r="G34" s="215"/>
      <c r="H34" s="200"/>
    </row>
    <row r="35" spans="1:8" ht="15.75" customHeight="1" x14ac:dyDescent="0.2">
      <c r="A35" s="200"/>
      <c r="B35" s="201"/>
      <c r="C35" s="202" t="s">
        <v>11</v>
      </c>
      <c r="D35" s="206">
        <f>D33+D34</f>
        <v>-3023016.6666666674</v>
      </c>
      <c r="E35" s="213"/>
      <c r="F35" s="206">
        <f>F33+F34</f>
        <v>-2502527.777777778</v>
      </c>
      <c r="G35" s="215"/>
      <c r="H35" s="200"/>
    </row>
    <row r="36" spans="1:8" ht="15.75" customHeight="1" x14ac:dyDescent="0.2">
      <c r="A36" s="200"/>
      <c r="B36" s="201"/>
      <c r="C36" s="202"/>
      <c r="D36" s="202"/>
      <c r="E36" s="202"/>
      <c r="F36" s="218"/>
      <c r="G36" s="215"/>
      <c r="H36" s="200"/>
    </row>
    <row r="37" spans="1:8" ht="15.75" customHeight="1" x14ac:dyDescent="0.2">
      <c r="A37" s="200"/>
      <c r="B37" s="201"/>
      <c r="C37" s="202" t="s">
        <v>21</v>
      </c>
      <c r="D37" s="205">
        <f>-D8+PV(D20,D11,-D35)</f>
        <v>-16266025.682152644</v>
      </c>
      <c r="E37" s="202"/>
      <c r="F37" s="205">
        <f>-D13+PV(D20,D16,-F35)</f>
        <v>-20512117.073112357</v>
      </c>
      <c r="G37" s="204"/>
      <c r="H37" s="200"/>
    </row>
    <row r="38" spans="1:8" ht="15.75" customHeight="1" x14ac:dyDescent="0.2">
      <c r="A38" s="200"/>
      <c r="B38" s="201"/>
      <c r="C38" s="202" t="s">
        <v>43</v>
      </c>
      <c r="D38" s="205">
        <f>PMT(D20,D11,-D37)</f>
        <v>-3734799.5457909387</v>
      </c>
      <c r="E38" s="351"/>
      <c r="F38" s="205">
        <f>PMT(D20,D16,-F37)</f>
        <v>-3561735.0661312747</v>
      </c>
      <c r="G38" s="204"/>
      <c r="H38" s="200"/>
    </row>
    <row r="39" spans="1:8" ht="15.75" customHeight="1" x14ac:dyDescent="0.2">
      <c r="A39" s="200"/>
      <c r="B39" s="201"/>
      <c r="C39" s="202"/>
      <c r="D39" s="207"/>
      <c r="E39" s="202"/>
      <c r="F39" s="202"/>
      <c r="G39" s="204"/>
      <c r="H39" s="200"/>
    </row>
    <row r="40" spans="1:8" ht="15.75" customHeight="1" x14ac:dyDescent="0.25">
      <c r="B40" s="18"/>
      <c r="C40" s="74" t="str">
        <f>IF(D38&gt;F38,"System A","System B")</f>
        <v>System B</v>
      </c>
      <c r="D40" s="19" t="s">
        <v>157</v>
      </c>
      <c r="E40" s="20"/>
      <c r="F40" s="20"/>
      <c r="G40" s="21"/>
    </row>
    <row r="41" spans="1:8" ht="15.75" customHeight="1" x14ac:dyDescent="0.2">
      <c r="B41" s="18"/>
      <c r="C41" s="19" t="s">
        <v>99</v>
      </c>
      <c r="D41" s="212"/>
      <c r="E41" s="20"/>
      <c r="F41" s="20"/>
      <c r="G41" s="21"/>
    </row>
    <row r="42" spans="1:8" ht="15.75" customHeight="1" thickBot="1" x14ac:dyDescent="0.25">
      <c r="B42" s="23"/>
      <c r="C42" s="24"/>
      <c r="D42" s="24"/>
      <c r="E42" s="24"/>
      <c r="F42" s="24"/>
      <c r="G42" s="25"/>
    </row>
    <row r="43" spans="1:8" ht="15.75" customHeight="1" x14ac:dyDescent="0.2">
      <c r="B43" s="14"/>
      <c r="E43" s="14"/>
      <c r="F43" s="14"/>
      <c r="G43" s="14"/>
    </row>
    <row r="44" spans="1:8" ht="15.75" customHeight="1" x14ac:dyDescent="0.2">
      <c r="D44" s="26"/>
    </row>
    <row r="45" spans="1:8" ht="15.75" customHeight="1" x14ac:dyDescent="0.2"/>
    <row r="46" spans="1:8" ht="15.75" customHeight="1" x14ac:dyDescent="0.2"/>
    <row r="47" spans="1:8" ht="15.75" customHeight="1" x14ac:dyDescent="0.2"/>
    <row r="48" spans="1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  <ignoredErrors>
    <ignoredError sqref="F34 D3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85546875" bestFit="1" customWidth="1"/>
    <col min="4" max="4" width="15.140625" customWidth="1"/>
    <col min="5" max="5" width="16" customWidth="1"/>
    <col min="6" max="6" width="3.140625" customWidth="1"/>
    <col min="7" max="7" width="10" customWidth="1"/>
    <col min="8" max="8" width="3.140625" customWidth="1"/>
  </cols>
  <sheetData>
    <row r="1" spans="2:9" s="3" customFormat="1" ht="18" x14ac:dyDescent="0.25">
      <c r="C1" s="1" t="s">
        <v>434</v>
      </c>
      <c r="D1" s="1"/>
    </row>
    <row r="2" spans="2:9" s="3" customFormat="1" ht="15.75" customHeight="1" x14ac:dyDescent="0.2">
      <c r="C2" s="3" t="s">
        <v>38</v>
      </c>
    </row>
    <row r="3" spans="2:9" s="3" customFormat="1" ht="15.75" customHeight="1" x14ac:dyDescent="0.2"/>
    <row r="4" spans="2:9" s="3" customFormat="1" ht="15.75" customHeight="1" x14ac:dyDescent="0.2">
      <c r="C4" s="2" t="s">
        <v>1</v>
      </c>
      <c r="D4" s="2"/>
    </row>
    <row r="5" spans="2:9" s="3" customFormat="1" ht="15.75" customHeight="1" thickBot="1" x14ac:dyDescent="0.25">
      <c r="C5" s="240"/>
      <c r="D5" s="240"/>
      <c r="E5" s="241"/>
    </row>
    <row r="6" spans="2:9" s="3" customFormat="1" ht="15.75" customHeight="1" x14ac:dyDescent="0.2">
      <c r="B6" s="110"/>
      <c r="C6" s="242"/>
      <c r="D6" s="242"/>
      <c r="E6" s="111"/>
      <c r="F6" s="112"/>
    </row>
    <row r="7" spans="2:9" s="3" customFormat="1" ht="30" x14ac:dyDescent="0.2">
      <c r="B7" s="113"/>
      <c r="C7" s="243"/>
      <c r="D7" s="252" t="s">
        <v>208</v>
      </c>
      <c r="E7" s="252" t="s">
        <v>209</v>
      </c>
      <c r="F7" s="115"/>
    </row>
    <row r="8" spans="2:9" s="3" customFormat="1" ht="15.75" customHeight="1" x14ac:dyDescent="0.2">
      <c r="B8" s="113"/>
      <c r="C8" s="243" t="s">
        <v>203</v>
      </c>
      <c r="D8" s="244" t="s">
        <v>204</v>
      </c>
      <c r="E8" s="245" t="s">
        <v>205</v>
      </c>
      <c r="F8" s="115"/>
      <c r="I8" s="246"/>
    </row>
    <row r="9" spans="2:9" s="3" customFormat="1" ht="15.75" customHeight="1" x14ac:dyDescent="0.2">
      <c r="B9" s="113"/>
      <c r="C9" s="114" t="s">
        <v>180</v>
      </c>
      <c r="D9" s="84">
        <v>-30000</v>
      </c>
      <c r="E9" s="247">
        <v>-45000</v>
      </c>
      <c r="F9" s="115"/>
      <c r="I9" s="246"/>
    </row>
    <row r="10" spans="2:9" s="3" customFormat="1" ht="15.75" customHeight="1" x14ac:dyDescent="0.2">
      <c r="B10" s="113"/>
      <c r="C10" s="114" t="s">
        <v>181</v>
      </c>
      <c r="D10" s="84">
        <v>18000</v>
      </c>
      <c r="E10" s="247">
        <v>21000</v>
      </c>
      <c r="F10" s="115"/>
      <c r="I10" s="246"/>
    </row>
    <row r="11" spans="2:9" s="3" customFormat="1" ht="15.75" customHeight="1" x14ac:dyDescent="0.2">
      <c r="B11" s="113"/>
      <c r="C11" s="114" t="s">
        <v>182</v>
      </c>
      <c r="D11" s="84">
        <v>16000</v>
      </c>
      <c r="E11" s="247">
        <v>23000</v>
      </c>
      <c r="F11" s="115"/>
      <c r="I11" s="246"/>
    </row>
    <row r="12" spans="2:9" s="3" customFormat="1" ht="15.75" customHeight="1" x14ac:dyDescent="0.2">
      <c r="B12" s="113"/>
      <c r="C12" s="114" t="s">
        <v>183</v>
      </c>
      <c r="D12" s="84">
        <v>12000</v>
      </c>
      <c r="E12" s="247">
        <v>25000</v>
      </c>
      <c r="F12" s="115"/>
      <c r="I12" s="246"/>
    </row>
    <row r="13" spans="2:9" s="3" customFormat="1" ht="15.75" customHeight="1" x14ac:dyDescent="0.2">
      <c r="B13" s="113"/>
      <c r="C13" s="114"/>
      <c r="D13" s="84"/>
      <c r="E13" s="247"/>
      <c r="F13" s="115"/>
      <c r="I13" s="246"/>
    </row>
    <row r="14" spans="2:9" s="3" customFormat="1" ht="15.75" customHeight="1" x14ac:dyDescent="0.2">
      <c r="B14" s="113"/>
      <c r="C14" s="114" t="s">
        <v>211</v>
      </c>
      <c r="D14" s="152">
        <v>0.13</v>
      </c>
      <c r="E14" s="247"/>
      <c r="F14" s="115"/>
      <c r="I14" s="246"/>
    </row>
    <row r="15" spans="2:9" s="3" customFormat="1" ht="15.75" customHeight="1" x14ac:dyDescent="0.2">
      <c r="B15" s="113"/>
      <c r="C15" s="114" t="s">
        <v>207</v>
      </c>
      <c r="D15" s="152">
        <v>0.04</v>
      </c>
      <c r="E15" s="247"/>
      <c r="F15" s="115"/>
      <c r="I15" s="246"/>
    </row>
    <row r="16" spans="2:9" ht="15.75" customHeight="1" thickBot="1" x14ac:dyDescent="0.25">
      <c r="B16" s="116"/>
      <c r="C16" s="117"/>
      <c r="D16" s="117"/>
      <c r="E16" s="176" t="s">
        <v>206</v>
      </c>
      <c r="F16" s="42"/>
    </row>
    <row r="17" spans="2:6" ht="15.75" customHeight="1" x14ac:dyDescent="0.2">
      <c r="B17" s="47"/>
      <c r="C17" s="248"/>
      <c r="D17" s="248"/>
      <c r="E17" s="248"/>
      <c r="F17" s="47"/>
    </row>
    <row r="18" spans="2:6" ht="15.75" customHeight="1" x14ac:dyDescent="0.2">
      <c r="B18" s="47"/>
      <c r="C18" s="249" t="s">
        <v>2</v>
      </c>
      <c r="D18" s="249"/>
      <c r="E18" s="248"/>
      <c r="F18" s="47"/>
    </row>
    <row r="19" spans="2:6" ht="15.75" customHeight="1" thickBot="1" x14ac:dyDescent="0.25">
      <c r="B19" s="47"/>
      <c r="C19" s="248"/>
      <c r="D19" s="248"/>
      <c r="E19" s="248"/>
      <c r="F19" s="47"/>
    </row>
    <row r="20" spans="2:6" ht="15.75" customHeight="1" x14ac:dyDescent="0.2">
      <c r="B20" s="118"/>
      <c r="C20" s="250"/>
      <c r="D20" s="250"/>
      <c r="E20" s="250"/>
      <c r="F20" s="72"/>
    </row>
    <row r="21" spans="2:6" ht="15.75" customHeight="1" x14ac:dyDescent="0.2">
      <c r="B21" s="120"/>
      <c r="C21" s="66" t="s">
        <v>210</v>
      </c>
      <c r="D21" s="253">
        <f>((1+D14)/(1+D15))-1</f>
        <v>8.6538461538461453E-2</v>
      </c>
      <c r="E21" s="251"/>
      <c r="F21" s="122"/>
    </row>
    <row r="22" spans="2:6" ht="15.75" customHeight="1" x14ac:dyDescent="0.2">
      <c r="B22" s="120"/>
      <c r="C22" s="251"/>
      <c r="D22" s="251"/>
      <c r="E22" s="251"/>
      <c r="F22" s="122"/>
    </row>
    <row r="23" spans="2:6" ht="15.75" customHeight="1" x14ac:dyDescent="0.25">
      <c r="B23" s="120"/>
      <c r="C23" s="66" t="s">
        <v>212</v>
      </c>
      <c r="D23" s="130">
        <f>NPV(D21,D10:D12)+D9</f>
        <v>9474.2410580935539</v>
      </c>
      <c r="E23" s="254"/>
      <c r="F23" s="122"/>
    </row>
    <row r="24" spans="2:6" ht="15.75" customHeight="1" x14ac:dyDescent="0.25">
      <c r="B24" s="120"/>
      <c r="C24" s="251"/>
      <c r="D24" s="87"/>
      <c r="E24" s="251"/>
      <c r="F24" s="122"/>
    </row>
    <row r="25" spans="2:6" ht="15.75" customHeight="1" x14ac:dyDescent="0.25">
      <c r="B25" s="120"/>
      <c r="C25" s="66" t="s">
        <v>213</v>
      </c>
      <c r="D25" s="130">
        <f>NPV(D14,E10:E12)+E9</f>
        <v>8922.6985709998771</v>
      </c>
      <c r="E25" s="254"/>
      <c r="F25" s="122"/>
    </row>
    <row r="26" spans="2:6" ht="15.75" customHeight="1" thickBot="1" x14ac:dyDescent="0.25">
      <c r="B26" s="123"/>
      <c r="C26" s="124"/>
      <c r="D26" s="124"/>
      <c r="E26" s="124"/>
      <c r="F26" s="125"/>
    </row>
    <row r="27" spans="2:6" ht="15.75" customHeight="1" x14ac:dyDescent="0.2">
      <c r="B27" s="241"/>
      <c r="C27" s="241"/>
      <c r="D27" s="241"/>
      <c r="E27" s="241"/>
      <c r="F27" s="241"/>
    </row>
    <row r="28" spans="2:6" ht="15.75" customHeight="1" x14ac:dyDescent="0.2">
      <c r="B28" s="241"/>
      <c r="C28" s="241"/>
      <c r="D28" s="241"/>
      <c r="E28" s="241"/>
      <c r="F28" s="241"/>
    </row>
    <row r="29" spans="2:6" ht="15.75" customHeight="1" x14ac:dyDescent="0.2">
      <c r="B29" s="3"/>
      <c r="C29" s="3"/>
      <c r="D29" s="3"/>
      <c r="E29" s="3"/>
      <c r="F29" s="3"/>
    </row>
    <row r="30" spans="2:6" ht="15.75" customHeight="1" x14ac:dyDescent="0.2">
      <c r="B30" s="3"/>
      <c r="C30" s="3"/>
      <c r="D30" s="3"/>
      <c r="E30" s="3"/>
      <c r="F30" s="3"/>
    </row>
    <row r="31" spans="2:6" ht="15.75" customHeight="1" x14ac:dyDescent="0.2"/>
    <row r="32" spans="2:6" ht="15.75" customHeight="1" x14ac:dyDescent="0.2"/>
    <row r="33" ht="15.75" customHeight="1" x14ac:dyDescent="0.2"/>
    <row r="34" ht="15.75" customHeight="1" x14ac:dyDescent="0.2"/>
    <row r="35" ht="15.75" customHeight="1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6" width="20.5703125" customWidth="1"/>
    <col min="7" max="7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40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s="255" customFormat="1" ht="15.75" customHeight="1" x14ac:dyDescent="0.2">
      <c r="B7" s="256"/>
      <c r="C7" s="258" t="s">
        <v>214</v>
      </c>
      <c r="D7" s="90">
        <v>2700000</v>
      </c>
      <c r="E7" s="257"/>
    </row>
    <row r="8" spans="2:5" ht="15.75" customHeight="1" x14ac:dyDescent="0.2">
      <c r="B8" s="8"/>
      <c r="C8" s="13" t="s">
        <v>215</v>
      </c>
      <c r="D8" s="259">
        <v>1.35</v>
      </c>
      <c r="E8" s="9"/>
    </row>
    <row r="9" spans="2:5" ht="15.75" customHeight="1" x14ac:dyDescent="0.2">
      <c r="B9" s="8"/>
      <c r="C9" s="13" t="s">
        <v>216</v>
      </c>
      <c r="D9" s="260">
        <v>0.85</v>
      </c>
      <c r="E9" s="9"/>
    </row>
    <row r="10" spans="2:5" ht="15.75" customHeight="1" x14ac:dyDescent="0.2">
      <c r="B10" s="8"/>
      <c r="C10" s="13" t="s">
        <v>217</v>
      </c>
      <c r="D10" s="404">
        <v>1.2999999999999999E-2</v>
      </c>
      <c r="E10" s="9"/>
    </row>
    <row r="11" spans="2:5" ht="15.75" customHeight="1" x14ac:dyDescent="0.2">
      <c r="B11" s="8"/>
      <c r="C11" s="13" t="s">
        <v>218</v>
      </c>
      <c r="D11" s="404">
        <v>8.0000000000000002E-3</v>
      </c>
      <c r="E11" s="9"/>
    </row>
    <row r="12" spans="2:5" ht="15.75" customHeight="1" x14ac:dyDescent="0.2">
      <c r="B12" s="8"/>
      <c r="C12" s="13" t="s">
        <v>6</v>
      </c>
      <c r="D12" s="83">
        <v>0.34</v>
      </c>
      <c r="E12" s="9"/>
    </row>
    <row r="13" spans="2:5" ht="15.75" customHeight="1" x14ac:dyDescent="0.2">
      <c r="B13" s="8"/>
      <c r="C13" s="13" t="s">
        <v>32</v>
      </c>
      <c r="D13" s="83">
        <v>0.06</v>
      </c>
      <c r="E13" s="9"/>
    </row>
    <row r="14" spans="2:5" ht="15.75" customHeight="1" thickBot="1" x14ac:dyDescent="0.25">
      <c r="B14" s="10"/>
      <c r="C14" s="65"/>
      <c r="D14" s="65"/>
      <c r="E14" s="12"/>
    </row>
    <row r="15" spans="2:5" ht="15.75" customHeight="1" x14ac:dyDescent="0.2">
      <c r="B15" s="64"/>
      <c r="E15" s="64"/>
    </row>
    <row r="16" spans="2:5" ht="15.75" customHeight="1" x14ac:dyDescent="0.2">
      <c r="C16" s="2" t="s">
        <v>2</v>
      </c>
    </row>
    <row r="17" spans="1:7" ht="15.75" customHeight="1" thickBot="1" x14ac:dyDescent="0.25"/>
    <row r="18" spans="1:7" ht="15.75" customHeight="1" x14ac:dyDescent="0.2">
      <c r="B18" s="15"/>
      <c r="C18" s="16"/>
      <c r="D18" s="216"/>
      <c r="E18" s="178"/>
    </row>
    <row r="19" spans="1:7" ht="15.75" customHeight="1" x14ac:dyDescent="0.2">
      <c r="A19" s="200"/>
      <c r="B19" s="201"/>
      <c r="C19" s="202" t="s">
        <v>219</v>
      </c>
      <c r="D19" s="261">
        <f>D7*D8*(1-D12)</f>
        <v>2405700</v>
      </c>
      <c r="E19" s="215"/>
      <c r="F19" s="200"/>
    </row>
    <row r="20" spans="1:7" ht="15.75" customHeight="1" x14ac:dyDescent="0.2">
      <c r="A20" s="200"/>
      <c r="B20" s="201"/>
      <c r="C20" s="202" t="s">
        <v>220</v>
      </c>
      <c r="D20" s="206">
        <f>D7*D9*(1-D12)</f>
        <v>1514699.9999999998</v>
      </c>
      <c r="E20" s="215"/>
      <c r="F20" s="200"/>
    </row>
    <row r="21" spans="1:7" ht="15.75" customHeight="1" x14ac:dyDescent="0.2">
      <c r="A21" s="200"/>
      <c r="B21" s="201"/>
      <c r="C21" s="202"/>
      <c r="D21" s="206"/>
      <c r="E21" s="215"/>
      <c r="F21" s="200"/>
    </row>
    <row r="22" spans="1:7" ht="15.75" customHeight="1" x14ac:dyDescent="0.2">
      <c r="A22" s="200"/>
      <c r="B22" s="201"/>
      <c r="C22" s="202" t="s">
        <v>221</v>
      </c>
      <c r="D22" s="206">
        <f>D19/(D13-D10)</f>
        <v>51185106.382978722</v>
      </c>
      <c r="E22" s="215"/>
      <c r="F22" s="200"/>
    </row>
    <row r="23" spans="1:7" ht="15.75" customHeight="1" x14ac:dyDescent="0.2">
      <c r="A23" s="200"/>
      <c r="B23" s="201"/>
      <c r="C23" s="202" t="s">
        <v>222</v>
      </c>
      <c r="D23" s="206">
        <f>D20/(D13-D11)</f>
        <v>29128846.153846152</v>
      </c>
      <c r="E23" s="215"/>
      <c r="F23" s="200"/>
    </row>
    <row r="24" spans="1:7" ht="15.75" customHeight="1" x14ac:dyDescent="0.2">
      <c r="A24" s="200"/>
      <c r="B24" s="201"/>
      <c r="C24" s="202"/>
      <c r="D24" s="206"/>
      <c r="E24" s="215"/>
      <c r="F24" s="200"/>
    </row>
    <row r="25" spans="1:7" ht="15.75" customHeight="1" x14ac:dyDescent="0.25">
      <c r="A25" s="200"/>
      <c r="B25" s="201"/>
      <c r="C25" s="202" t="s">
        <v>223</v>
      </c>
      <c r="D25" s="81">
        <f>D22-D23</f>
        <v>22056260.22913257</v>
      </c>
      <c r="E25" s="215"/>
      <c r="F25" s="200"/>
    </row>
    <row r="26" spans="1:7" ht="15.75" customHeight="1" thickBot="1" x14ac:dyDescent="0.25">
      <c r="B26" s="23"/>
      <c r="C26" s="24"/>
      <c r="D26" s="24"/>
      <c r="E26" s="25"/>
    </row>
    <row r="27" spans="1:7" ht="15.75" customHeight="1" x14ac:dyDescent="0.2">
      <c r="B27" s="14"/>
      <c r="E27" s="14"/>
      <c r="F27" s="14"/>
      <c r="G27" s="14"/>
    </row>
    <row r="28" spans="1:7" ht="15.75" customHeight="1" x14ac:dyDescent="0.2">
      <c r="D28" s="26"/>
    </row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3.7109375" bestFit="1" customWidth="1"/>
    <col min="4" max="9" width="15.140625" customWidth="1"/>
    <col min="10" max="10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42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s="255" customFormat="1" ht="15.75" customHeight="1" x14ac:dyDescent="0.2">
      <c r="B7" s="256"/>
      <c r="C7" s="258" t="s">
        <v>31</v>
      </c>
      <c r="D7" s="84">
        <v>395000</v>
      </c>
      <c r="E7" s="257"/>
    </row>
    <row r="8" spans="2:5" ht="15.75" customHeight="1" x14ac:dyDescent="0.2">
      <c r="B8" s="8"/>
      <c r="C8" s="13" t="s">
        <v>224</v>
      </c>
      <c r="D8" s="262">
        <v>255000</v>
      </c>
      <c r="E8" s="9"/>
    </row>
    <row r="9" spans="2:5" ht="15.75" customHeight="1" x14ac:dyDescent="0.2">
      <c r="B9" s="8"/>
      <c r="C9" s="13" t="s">
        <v>225</v>
      </c>
      <c r="D9" s="263">
        <v>82000</v>
      </c>
      <c r="E9" s="9"/>
    </row>
    <row r="10" spans="2:5" ht="15.75" customHeight="1" x14ac:dyDescent="0.2">
      <c r="B10" s="8"/>
      <c r="C10" s="13" t="s">
        <v>226</v>
      </c>
      <c r="D10" s="152">
        <v>0.03</v>
      </c>
      <c r="E10" s="9"/>
    </row>
    <row r="11" spans="2:5" ht="15.75" customHeight="1" x14ac:dyDescent="0.2">
      <c r="B11" s="8"/>
      <c r="C11" s="13" t="s">
        <v>227</v>
      </c>
      <c r="D11" s="264">
        <v>45000</v>
      </c>
      <c r="E11" s="9"/>
    </row>
    <row r="12" spans="2:5" ht="15.75" customHeight="1" x14ac:dyDescent="0.2">
      <c r="B12" s="8"/>
      <c r="C12" s="13" t="s">
        <v>91</v>
      </c>
      <c r="D12" s="264">
        <v>15000</v>
      </c>
      <c r="E12" s="9"/>
    </row>
    <row r="13" spans="2:5" ht="15.75" customHeight="1" x14ac:dyDescent="0.2">
      <c r="B13" s="8"/>
      <c r="C13" s="13" t="s">
        <v>6</v>
      </c>
      <c r="D13" s="83">
        <v>0.34</v>
      </c>
      <c r="E13" s="9"/>
    </row>
    <row r="14" spans="2:5" ht="15.75" customHeight="1" thickBot="1" x14ac:dyDescent="0.25">
      <c r="B14" s="10"/>
      <c r="C14" s="65"/>
      <c r="D14" s="65"/>
      <c r="E14" s="12"/>
    </row>
    <row r="15" spans="2:5" ht="15.75" customHeight="1" x14ac:dyDescent="0.2">
      <c r="B15" s="64"/>
      <c r="E15" s="64"/>
    </row>
    <row r="16" spans="2:5" ht="15.75" customHeight="1" x14ac:dyDescent="0.2">
      <c r="C16" s="2" t="s">
        <v>2</v>
      </c>
    </row>
    <row r="17" spans="1:11" ht="15.75" customHeight="1" thickBot="1" x14ac:dyDescent="0.25"/>
    <row r="18" spans="1:11" ht="15.75" customHeight="1" x14ac:dyDescent="0.2">
      <c r="B18" s="15"/>
      <c r="C18" s="16"/>
      <c r="D18" s="16"/>
      <c r="E18" s="16"/>
      <c r="F18" s="16"/>
      <c r="G18" s="16"/>
      <c r="H18" s="16"/>
      <c r="I18" s="216"/>
      <c r="J18" s="178"/>
    </row>
    <row r="19" spans="1:11" ht="15.75" customHeight="1" x14ac:dyDescent="0.2">
      <c r="B19" s="18"/>
      <c r="C19" s="265" t="s">
        <v>51</v>
      </c>
      <c r="D19" s="20"/>
      <c r="E19" s="20"/>
      <c r="F19" s="20"/>
      <c r="G19" s="20"/>
      <c r="H19" s="20"/>
      <c r="I19" s="56"/>
      <c r="J19" s="179"/>
    </row>
    <row r="20" spans="1:11" ht="15.75" customHeight="1" x14ac:dyDescent="0.2">
      <c r="B20" s="18"/>
      <c r="C20" s="19" t="s">
        <v>171</v>
      </c>
      <c r="D20" s="79">
        <f>D11</f>
        <v>45000</v>
      </c>
      <c r="E20" s="20"/>
      <c r="F20" s="20"/>
      <c r="G20" s="20"/>
      <c r="H20" s="20"/>
      <c r="I20" s="56"/>
      <c r="J20" s="179"/>
    </row>
    <row r="21" spans="1:11" ht="15.75" customHeight="1" x14ac:dyDescent="0.2">
      <c r="B21" s="18"/>
      <c r="C21" s="19" t="s">
        <v>232</v>
      </c>
      <c r="D21" s="82">
        <f>-D11*D13</f>
        <v>-15300.000000000002</v>
      </c>
      <c r="E21" s="20"/>
      <c r="F21" s="20"/>
      <c r="G21" s="20"/>
      <c r="H21" s="20"/>
      <c r="I21" s="56"/>
      <c r="J21" s="179"/>
    </row>
    <row r="22" spans="1:11" ht="15.75" customHeight="1" x14ac:dyDescent="0.2">
      <c r="B22" s="18"/>
      <c r="C22" s="19" t="s">
        <v>28</v>
      </c>
      <c r="D22" s="79">
        <f>D20+D21</f>
        <v>29700</v>
      </c>
      <c r="E22" s="20"/>
      <c r="F22" s="20"/>
      <c r="G22" s="20"/>
      <c r="H22" s="20"/>
      <c r="I22" s="56"/>
      <c r="J22" s="179"/>
    </row>
    <row r="23" spans="1:11" ht="15.75" customHeight="1" x14ac:dyDescent="0.2">
      <c r="B23" s="18"/>
      <c r="C23" s="20"/>
      <c r="D23" s="20"/>
      <c r="E23" s="20"/>
      <c r="F23" s="20"/>
      <c r="G23" s="20"/>
      <c r="H23" s="20"/>
      <c r="I23" s="56"/>
      <c r="J23" s="179"/>
    </row>
    <row r="24" spans="1:11" ht="15.75" customHeight="1" x14ac:dyDescent="0.2">
      <c r="B24" s="18"/>
      <c r="C24" s="20"/>
      <c r="D24" s="266" t="s">
        <v>180</v>
      </c>
      <c r="E24" s="266" t="s">
        <v>181</v>
      </c>
      <c r="F24" s="266" t="s">
        <v>182</v>
      </c>
      <c r="G24" s="266" t="s">
        <v>183</v>
      </c>
      <c r="H24" s="266" t="s">
        <v>184</v>
      </c>
      <c r="I24" s="267" t="s">
        <v>231</v>
      </c>
      <c r="J24" s="179"/>
    </row>
    <row r="25" spans="1:11" ht="15.75" customHeight="1" x14ac:dyDescent="0.2">
      <c r="A25" s="200"/>
      <c r="B25" s="201"/>
      <c r="C25" s="218" t="s">
        <v>10</v>
      </c>
      <c r="D25" s="214"/>
      <c r="E25" s="271">
        <f>D8</f>
        <v>255000</v>
      </c>
      <c r="F25" s="271">
        <f t="shared" ref="F25:I26" si="0">E25*(1+$D$10)</f>
        <v>262650</v>
      </c>
      <c r="G25" s="271">
        <f t="shared" si="0"/>
        <v>270529.5</v>
      </c>
      <c r="H25" s="271">
        <f t="shared" si="0"/>
        <v>278645.38500000001</v>
      </c>
      <c r="I25" s="271">
        <f t="shared" si="0"/>
        <v>287004.74655000004</v>
      </c>
      <c r="J25" s="215"/>
      <c r="K25" s="200"/>
    </row>
    <row r="26" spans="1:11" ht="15.75" customHeight="1" x14ac:dyDescent="0.2">
      <c r="A26" s="200"/>
      <c r="B26" s="201"/>
      <c r="C26" s="218" t="s">
        <v>229</v>
      </c>
      <c r="D26" s="214"/>
      <c r="E26" s="209">
        <f>D9</f>
        <v>82000</v>
      </c>
      <c r="F26" s="209">
        <f t="shared" si="0"/>
        <v>84460</v>
      </c>
      <c r="G26" s="209">
        <f t="shared" si="0"/>
        <v>86993.8</v>
      </c>
      <c r="H26" s="209">
        <f t="shared" si="0"/>
        <v>89603.614000000001</v>
      </c>
      <c r="I26" s="209">
        <f t="shared" si="0"/>
        <v>92291.722420000006</v>
      </c>
      <c r="J26" s="215"/>
      <c r="K26" s="200"/>
    </row>
    <row r="27" spans="1:11" ht="15.75" customHeight="1" x14ac:dyDescent="0.2">
      <c r="A27" s="200"/>
      <c r="B27" s="201"/>
      <c r="C27" s="218" t="s">
        <v>5</v>
      </c>
      <c r="D27" s="268"/>
      <c r="E27" s="210">
        <f>$D$7/5</f>
        <v>79000</v>
      </c>
      <c r="F27" s="210">
        <f>$D$7/5</f>
        <v>79000</v>
      </c>
      <c r="G27" s="210">
        <f>$D$7/5</f>
        <v>79000</v>
      </c>
      <c r="H27" s="210">
        <f>$D$7/5</f>
        <v>79000</v>
      </c>
      <c r="I27" s="210">
        <f>$D$7/5</f>
        <v>79000</v>
      </c>
      <c r="J27" s="215"/>
      <c r="K27" s="200"/>
    </row>
    <row r="28" spans="1:11" ht="15.75" customHeight="1" x14ac:dyDescent="0.2">
      <c r="A28" s="200"/>
      <c r="B28" s="201"/>
      <c r="C28" s="218" t="s">
        <v>8</v>
      </c>
      <c r="D28" s="214"/>
      <c r="E28" s="271">
        <f>E25-E26-E27</f>
        <v>94000</v>
      </c>
      <c r="F28" s="271">
        <f>F25-F26-F27</f>
        <v>99190</v>
      </c>
      <c r="G28" s="271">
        <f>G25-G26-G27</f>
        <v>104535.70000000001</v>
      </c>
      <c r="H28" s="271">
        <f>H25-H26-H27</f>
        <v>110041.77100000001</v>
      </c>
      <c r="I28" s="271">
        <f>I25-I26-I27</f>
        <v>115713.02413000003</v>
      </c>
      <c r="J28" s="215"/>
      <c r="K28" s="200"/>
    </row>
    <row r="29" spans="1:11" ht="15.75" customHeight="1" x14ac:dyDescent="0.2">
      <c r="A29" s="200"/>
      <c r="B29" s="201"/>
      <c r="C29" s="218" t="s">
        <v>155</v>
      </c>
      <c r="D29" s="268"/>
      <c r="E29" s="210">
        <f>E28*$D$13</f>
        <v>31960.000000000004</v>
      </c>
      <c r="F29" s="210">
        <f>F28*$D$13</f>
        <v>33724.600000000006</v>
      </c>
      <c r="G29" s="210">
        <f>G28*$D$13</f>
        <v>35542.138000000006</v>
      </c>
      <c r="H29" s="210">
        <f>H28*$D$13</f>
        <v>37414.202140000009</v>
      </c>
      <c r="I29" s="210">
        <f>I28*$D$13</f>
        <v>39342.428204200012</v>
      </c>
      <c r="J29" s="215"/>
      <c r="K29" s="200"/>
    </row>
    <row r="30" spans="1:11" ht="15.75" customHeight="1" thickBot="1" x14ac:dyDescent="0.25">
      <c r="A30" s="200"/>
      <c r="B30" s="201"/>
      <c r="C30" s="218" t="s">
        <v>115</v>
      </c>
      <c r="D30" s="270"/>
      <c r="E30" s="272">
        <f>E28-E29</f>
        <v>62040</v>
      </c>
      <c r="F30" s="272">
        <f>F28-F29</f>
        <v>65465.399999999994</v>
      </c>
      <c r="G30" s="272">
        <f>G28-G29</f>
        <v>68993.562000000005</v>
      </c>
      <c r="H30" s="272">
        <f>H28-H29</f>
        <v>72627.568859999999</v>
      </c>
      <c r="I30" s="272">
        <f>I28-I29</f>
        <v>76370.595925800022</v>
      </c>
      <c r="J30" s="215"/>
      <c r="K30" s="200"/>
    </row>
    <row r="31" spans="1:11" ht="15.75" customHeight="1" thickTop="1" x14ac:dyDescent="0.2">
      <c r="A31" s="200"/>
      <c r="B31" s="201"/>
      <c r="C31" s="218" t="s">
        <v>11</v>
      </c>
      <c r="D31" s="214"/>
      <c r="E31" s="271">
        <f>E30+E27</f>
        <v>141040</v>
      </c>
      <c r="F31" s="271">
        <f>F30+F27</f>
        <v>144465.4</v>
      </c>
      <c r="G31" s="271">
        <f>G30+G27</f>
        <v>147993.56200000001</v>
      </c>
      <c r="H31" s="271">
        <f>H30+H27</f>
        <v>151627.56886</v>
      </c>
      <c r="I31" s="271">
        <f>I30+I27</f>
        <v>155370.59592580004</v>
      </c>
      <c r="J31" s="215"/>
      <c r="K31" s="200"/>
    </row>
    <row r="32" spans="1:11" ht="15.75" customHeight="1" x14ac:dyDescent="0.2">
      <c r="A32" s="200"/>
      <c r="B32" s="201"/>
      <c r="C32" s="218"/>
      <c r="D32" s="214"/>
      <c r="E32" s="271"/>
      <c r="F32" s="271"/>
      <c r="G32" s="271"/>
      <c r="H32" s="271"/>
      <c r="I32" s="271"/>
      <c r="J32" s="215"/>
      <c r="K32" s="200"/>
    </row>
    <row r="33" spans="1:11" ht="15.75" customHeight="1" x14ac:dyDescent="0.2">
      <c r="A33" s="200"/>
      <c r="B33" s="201"/>
      <c r="C33" s="218" t="s">
        <v>119</v>
      </c>
      <c r="D33" s="206">
        <f>-D7</f>
        <v>-395000</v>
      </c>
      <c r="E33" s="271"/>
      <c r="F33" s="271"/>
      <c r="G33" s="271"/>
      <c r="H33" s="271"/>
      <c r="I33" s="209">
        <f>D22</f>
        <v>29700</v>
      </c>
      <c r="J33" s="215"/>
      <c r="K33" s="200"/>
    </row>
    <row r="34" spans="1:11" ht="15.75" customHeight="1" x14ac:dyDescent="0.2">
      <c r="A34" s="200"/>
      <c r="B34" s="201"/>
      <c r="C34" s="218" t="s">
        <v>91</v>
      </c>
      <c r="D34" s="210">
        <f>-D12</f>
        <v>-15000</v>
      </c>
      <c r="E34" s="210"/>
      <c r="F34" s="210"/>
      <c r="G34" s="210"/>
      <c r="H34" s="210"/>
      <c r="I34" s="210">
        <f>D12</f>
        <v>15000</v>
      </c>
      <c r="J34" s="215"/>
      <c r="K34" s="200"/>
    </row>
    <row r="35" spans="1:11" ht="15.75" customHeight="1" x14ac:dyDescent="0.2">
      <c r="A35" s="200"/>
      <c r="B35" s="201"/>
      <c r="C35" s="218" t="s">
        <v>230</v>
      </c>
      <c r="D35" s="206">
        <f t="shared" ref="D35:I35" si="1">D31+D33+D34</f>
        <v>-410000</v>
      </c>
      <c r="E35" s="271">
        <f t="shared" si="1"/>
        <v>141040</v>
      </c>
      <c r="F35" s="271">
        <f t="shared" si="1"/>
        <v>144465.4</v>
      </c>
      <c r="G35" s="271">
        <f t="shared" si="1"/>
        <v>147993.56200000001</v>
      </c>
      <c r="H35" s="271">
        <f t="shared" si="1"/>
        <v>151627.56886</v>
      </c>
      <c r="I35" s="271">
        <f t="shared" si="1"/>
        <v>200070.59592580004</v>
      </c>
      <c r="J35" s="215"/>
      <c r="K35" s="200"/>
    </row>
    <row r="36" spans="1:11" ht="15.75" customHeight="1" thickBot="1" x14ac:dyDescent="0.25">
      <c r="B36" s="23"/>
      <c r="C36" s="24"/>
      <c r="D36" s="24"/>
      <c r="E36" s="24"/>
      <c r="F36" s="24"/>
      <c r="G36" s="24"/>
      <c r="H36" s="24"/>
      <c r="I36" s="24"/>
      <c r="J36" s="25"/>
    </row>
    <row r="37" spans="1:11" ht="15.75" customHeight="1" x14ac:dyDescent="0.2">
      <c r="B37" s="14"/>
      <c r="E37" s="14"/>
      <c r="F37" s="14"/>
    </row>
    <row r="38" spans="1:11" ht="15.75" customHeight="1" x14ac:dyDescent="0.2">
      <c r="D38" s="26"/>
    </row>
    <row r="39" spans="1:11" ht="15.75" customHeight="1" x14ac:dyDescent="0.2"/>
    <row r="40" spans="1:11" ht="15.75" customHeight="1" x14ac:dyDescent="0.2"/>
    <row r="41" spans="1:11" ht="15.75" customHeight="1" x14ac:dyDescent="0.2"/>
    <row r="42" spans="1:11" ht="15.75" customHeight="1" x14ac:dyDescent="0.2"/>
    <row r="43" spans="1:11" ht="15.75" customHeight="1" x14ac:dyDescent="0.2"/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7109375" customWidth="1"/>
    <col min="4" max="4" width="19.5703125" bestFit="1" customWidth="1"/>
    <col min="5" max="5" width="3.140625" customWidth="1"/>
    <col min="6" max="6" width="20.5703125" customWidth="1"/>
    <col min="7" max="7" width="3.140625" customWidth="1"/>
  </cols>
  <sheetData>
    <row r="1" spans="1:6" ht="18" x14ac:dyDescent="0.25">
      <c r="C1" s="1" t="s">
        <v>434</v>
      </c>
    </row>
    <row r="2" spans="1:6" ht="15.75" customHeight="1" x14ac:dyDescent="0.2">
      <c r="C2" s="3" t="s">
        <v>44</v>
      </c>
    </row>
    <row r="3" spans="1:6" ht="15.75" customHeight="1" x14ac:dyDescent="0.2"/>
    <row r="4" spans="1:6" ht="15.75" customHeight="1" x14ac:dyDescent="0.2">
      <c r="C4" s="2" t="s">
        <v>1</v>
      </c>
    </row>
    <row r="5" spans="1:6" ht="15.75" customHeight="1" thickBot="1" x14ac:dyDescent="0.25"/>
    <row r="6" spans="1:6" ht="15.75" customHeight="1" x14ac:dyDescent="0.2">
      <c r="B6" s="5"/>
      <c r="C6" s="6"/>
      <c r="D6" s="6"/>
      <c r="E6" s="7"/>
    </row>
    <row r="7" spans="1:6" ht="15.75" customHeight="1" x14ac:dyDescent="0.2">
      <c r="B7" s="8"/>
      <c r="C7" s="258" t="s">
        <v>233</v>
      </c>
      <c r="D7" s="262">
        <v>235000</v>
      </c>
      <c r="E7" s="9"/>
    </row>
    <row r="8" spans="1:6" ht="15.75" customHeight="1" x14ac:dyDescent="0.2">
      <c r="B8" s="8"/>
      <c r="C8" s="13" t="s">
        <v>234</v>
      </c>
      <c r="D8" s="152">
        <v>-0.03</v>
      </c>
      <c r="E8" s="9"/>
    </row>
    <row r="9" spans="1:6" ht="15.75" customHeight="1" x14ac:dyDescent="0.2">
      <c r="B9" s="8"/>
      <c r="C9" s="13" t="s">
        <v>210</v>
      </c>
      <c r="D9" s="152">
        <v>0.04</v>
      </c>
      <c r="E9" s="9"/>
    </row>
    <row r="10" spans="1:6" ht="15.75" customHeight="1" thickBot="1" x14ac:dyDescent="0.25">
      <c r="B10" s="10"/>
      <c r="C10" s="65"/>
      <c r="D10" s="65"/>
      <c r="E10" s="12"/>
    </row>
    <row r="11" spans="1:6" ht="15.75" customHeight="1" x14ac:dyDescent="0.2">
      <c r="B11" s="64"/>
      <c r="E11" s="64"/>
    </row>
    <row r="12" spans="1:6" ht="15.75" customHeight="1" x14ac:dyDescent="0.2">
      <c r="C12" s="2" t="s">
        <v>2</v>
      </c>
    </row>
    <row r="13" spans="1:6" ht="15.75" customHeight="1" thickBot="1" x14ac:dyDescent="0.25"/>
    <row r="14" spans="1:6" ht="15.75" customHeight="1" x14ac:dyDescent="0.2">
      <c r="B14" s="15"/>
      <c r="C14" s="16"/>
      <c r="D14" s="216"/>
      <c r="E14" s="178"/>
    </row>
    <row r="15" spans="1:6" ht="15.75" customHeight="1" x14ac:dyDescent="0.25">
      <c r="A15" s="200"/>
      <c r="B15" s="201"/>
      <c r="C15" s="202" t="s">
        <v>223</v>
      </c>
      <c r="D15" s="171">
        <f>D7/(D9-D8)</f>
        <v>3357142.8571428568</v>
      </c>
      <c r="E15" s="215"/>
      <c r="F15" s="200"/>
    </row>
    <row r="16" spans="1:6" ht="15.75" customHeight="1" thickBot="1" x14ac:dyDescent="0.25">
      <c r="B16" s="23"/>
      <c r="C16" s="24"/>
      <c r="D16" s="24"/>
      <c r="E16" s="25"/>
    </row>
    <row r="17" spans="2:7" ht="15.75" customHeight="1" x14ac:dyDescent="0.2">
      <c r="B17" s="14"/>
      <c r="E17" s="14"/>
      <c r="F17" s="14"/>
      <c r="G17" s="14"/>
    </row>
    <row r="18" spans="2:7" ht="15.75" customHeight="1" x14ac:dyDescent="0.2">
      <c r="D18" s="26"/>
    </row>
    <row r="19" spans="2:7" ht="15.75" customHeight="1" x14ac:dyDescent="0.2"/>
    <row r="20" spans="2:7" ht="15.75" customHeight="1" x14ac:dyDescent="0.2"/>
    <row r="21" spans="2:7" ht="15.75" customHeight="1" x14ac:dyDescent="0.2"/>
    <row r="22" spans="2:7" ht="15.75" customHeight="1" x14ac:dyDescent="0.2"/>
    <row r="23" spans="2:7" ht="15.75" customHeight="1" x14ac:dyDescent="0.2"/>
    <row r="24" spans="2:7" ht="15.75" customHeight="1" x14ac:dyDescent="0.2"/>
    <row r="25" spans="2:7" ht="15.75" customHeight="1" x14ac:dyDescent="0.2"/>
    <row r="26" spans="2:7" ht="15.75" customHeight="1" x14ac:dyDescent="0.2"/>
    <row r="27" spans="2:7" ht="15.75" customHeight="1" x14ac:dyDescent="0.2"/>
    <row r="28" spans="2:7" ht="15.75" customHeight="1" x14ac:dyDescent="0.2"/>
    <row r="29" spans="2:7" ht="15.75" customHeight="1" x14ac:dyDescent="0.2"/>
    <row r="30" spans="2:7" ht="15.75" customHeight="1" x14ac:dyDescent="0.2"/>
    <row r="31" spans="2:7" ht="15.75" customHeight="1" x14ac:dyDescent="0.2"/>
    <row r="32" spans="2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7" ht="18" customHeight="1" x14ac:dyDescent="0.25">
      <c r="C1" s="1" t="s">
        <v>434</v>
      </c>
    </row>
    <row r="2" spans="2:7" ht="15.75" customHeight="1" x14ac:dyDescent="0.2">
      <c r="C2" s="3" t="s">
        <v>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31</v>
      </c>
      <c r="D7" s="84">
        <v>7500</v>
      </c>
      <c r="E7" s="9"/>
      <c r="G7" s="57"/>
    </row>
    <row r="8" spans="2:7" ht="15.75" customHeight="1" x14ac:dyDescent="0.2">
      <c r="B8" s="8"/>
      <c r="C8" s="13" t="s">
        <v>34</v>
      </c>
      <c r="D8" s="95"/>
      <c r="E8" s="9"/>
      <c r="G8" s="57"/>
    </row>
    <row r="9" spans="2:7" ht="15.75" customHeight="1" x14ac:dyDescent="0.2">
      <c r="B9" s="8"/>
      <c r="C9" s="13" t="s">
        <v>36</v>
      </c>
      <c r="D9" s="90">
        <v>5</v>
      </c>
      <c r="E9" s="9"/>
      <c r="G9" s="57"/>
    </row>
    <row r="10" spans="2:7" ht="15.75" customHeight="1" x14ac:dyDescent="0.2">
      <c r="B10" s="8"/>
      <c r="C10" s="13" t="s">
        <v>177</v>
      </c>
      <c r="D10" s="90">
        <v>1300</v>
      </c>
      <c r="E10" s="9"/>
    </row>
    <row r="11" spans="2:7" ht="15.75" customHeight="1" x14ac:dyDescent="0.2">
      <c r="B11" s="8"/>
      <c r="C11" s="13" t="s">
        <v>178</v>
      </c>
      <c r="D11" s="289">
        <v>2.15</v>
      </c>
      <c r="E11" s="9"/>
    </row>
    <row r="12" spans="2:7" ht="15.75" customHeight="1" x14ac:dyDescent="0.2">
      <c r="B12" s="8"/>
      <c r="C12" s="13" t="s">
        <v>179</v>
      </c>
      <c r="D12" s="289">
        <v>5.25</v>
      </c>
      <c r="E12" s="9"/>
    </row>
    <row r="13" spans="2:7" ht="15.75" customHeight="1" x14ac:dyDescent="0.2">
      <c r="B13" s="8"/>
      <c r="C13" s="13" t="s">
        <v>6</v>
      </c>
      <c r="D13" s="83">
        <v>0.34</v>
      </c>
      <c r="E13" s="9"/>
    </row>
    <row r="14" spans="2:7" ht="15.75" customHeight="1" x14ac:dyDescent="0.2">
      <c r="B14" s="8"/>
      <c r="C14" s="13" t="s">
        <v>20</v>
      </c>
      <c r="D14" s="83">
        <v>0.14000000000000001</v>
      </c>
      <c r="E14" s="9"/>
    </row>
    <row r="15" spans="2:7" ht="15.75" customHeight="1" thickBot="1" x14ac:dyDescent="0.25">
      <c r="B15" s="10"/>
      <c r="C15" s="11"/>
      <c r="D15" s="11"/>
      <c r="E15" s="12"/>
    </row>
    <row r="16" spans="2:7" ht="15.75" customHeight="1" x14ac:dyDescent="0.2"/>
    <row r="17" spans="2:8" ht="15.75" customHeight="1" x14ac:dyDescent="0.2">
      <c r="C17" s="2" t="s">
        <v>2</v>
      </c>
    </row>
    <row r="18" spans="2:8" ht="15.75" customHeight="1" thickBot="1" x14ac:dyDescent="0.25"/>
    <row r="19" spans="2:8" ht="15.75" customHeight="1" x14ac:dyDescent="0.2">
      <c r="B19" s="15"/>
      <c r="C19" s="16"/>
      <c r="D19" s="16"/>
      <c r="E19" s="17"/>
      <c r="F19" s="30"/>
      <c r="G19" s="30"/>
      <c r="H19" s="30"/>
    </row>
    <row r="20" spans="2:8" ht="15.75" customHeight="1" x14ac:dyDescent="0.2">
      <c r="B20" s="18"/>
      <c r="C20" s="19" t="s">
        <v>10</v>
      </c>
      <c r="D20" s="349">
        <f>D10*D12</f>
        <v>6825</v>
      </c>
      <c r="E20" s="21"/>
      <c r="F20" s="30"/>
      <c r="G20" s="30"/>
      <c r="H20" s="30"/>
    </row>
    <row r="21" spans="2:8" ht="15.75" customHeight="1" x14ac:dyDescent="0.2">
      <c r="B21" s="18"/>
      <c r="C21" s="19" t="s">
        <v>14</v>
      </c>
      <c r="D21" s="283">
        <f>D11*D10</f>
        <v>2795</v>
      </c>
      <c r="E21" s="22"/>
      <c r="F21" s="30"/>
      <c r="G21" s="30"/>
      <c r="H21" s="31"/>
    </row>
    <row r="22" spans="2:8" ht="15.75" customHeight="1" x14ac:dyDescent="0.2">
      <c r="B22" s="18"/>
      <c r="C22" s="19" t="s">
        <v>5</v>
      </c>
      <c r="D22" s="282">
        <f>D7/D9</f>
        <v>1500</v>
      </c>
      <c r="E22" s="21"/>
      <c r="F22" s="30"/>
      <c r="G22" s="30"/>
      <c r="H22" s="30"/>
    </row>
    <row r="23" spans="2:8" ht="15.75" customHeight="1" x14ac:dyDescent="0.2">
      <c r="B23" s="18"/>
      <c r="C23" s="19" t="s">
        <v>8</v>
      </c>
      <c r="D23" s="349">
        <f>D20-D21-D22</f>
        <v>2530</v>
      </c>
      <c r="E23" s="21"/>
      <c r="F23" s="30"/>
      <c r="G23" s="30"/>
      <c r="H23" s="30"/>
    </row>
    <row r="24" spans="2:8" ht="15.75" customHeight="1" x14ac:dyDescent="0.2">
      <c r="B24" s="18"/>
      <c r="C24" s="225" t="s">
        <v>155</v>
      </c>
      <c r="D24" s="282">
        <f>D23*D13</f>
        <v>860.2</v>
      </c>
      <c r="E24" s="21"/>
      <c r="F24" s="30"/>
      <c r="G24" s="30"/>
      <c r="H24" s="30"/>
    </row>
    <row r="25" spans="2:8" ht="15.75" customHeight="1" x14ac:dyDescent="0.2">
      <c r="B25" s="18"/>
      <c r="C25" s="19" t="s">
        <v>115</v>
      </c>
      <c r="D25" s="349">
        <f>D23-D24</f>
        <v>1669.8</v>
      </c>
      <c r="E25" s="21"/>
      <c r="F25" s="30"/>
      <c r="G25" s="30"/>
      <c r="H25" s="30"/>
    </row>
    <row r="26" spans="2:8" ht="15.75" customHeight="1" x14ac:dyDescent="0.2">
      <c r="B26" s="18"/>
      <c r="C26" s="19"/>
      <c r="D26" s="349"/>
      <c r="E26" s="21"/>
      <c r="F26" s="30"/>
      <c r="G26" s="30"/>
      <c r="H26" s="30"/>
    </row>
    <row r="27" spans="2:8" ht="15.75" customHeight="1" x14ac:dyDescent="0.2">
      <c r="B27" s="18"/>
      <c r="C27" s="19" t="s">
        <v>11</v>
      </c>
      <c r="D27" s="349">
        <f>D25+D22</f>
        <v>3169.8</v>
      </c>
      <c r="E27" s="21"/>
      <c r="F27" s="30"/>
      <c r="G27" s="30"/>
      <c r="H27" s="30"/>
    </row>
    <row r="28" spans="2:8" ht="15.75" customHeight="1" x14ac:dyDescent="0.2">
      <c r="B28" s="18"/>
      <c r="C28" s="19"/>
      <c r="D28" s="96"/>
      <c r="E28" s="21"/>
      <c r="F28" s="30"/>
      <c r="G28" s="30"/>
      <c r="H28" s="30"/>
    </row>
    <row r="29" spans="2:8" ht="15.75" customHeight="1" x14ac:dyDescent="0.25">
      <c r="B29" s="18"/>
      <c r="C29" s="19" t="s">
        <v>21</v>
      </c>
      <c r="D29" s="171">
        <f>-D7+PV(D14,D9,-D27)</f>
        <v>3382.1800550875523</v>
      </c>
      <c r="E29" s="21"/>
      <c r="F29" s="30"/>
      <c r="G29" s="30"/>
      <c r="H29" s="30"/>
    </row>
    <row r="30" spans="2:8" ht="15.75" customHeight="1" thickBot="1" x14ac:dyDescent="0.25">
      <c r="B30" s="23"/>
      <c r="C30" s="53"/>
      <c r="D30" s="53"/>
      <c r="E30" s="25"/>
      <c r="F30" s="30"/>
      <c r="G30" s="30"/>
      <c r="H30" s="30"/>
    </row>
    <row r="31" spans="2:8" ht="15.75" customHeight="1" x14ac:dyDescent="0.2">
      <c r="B31" s="14"/>
      <c r="C31" s="14"/>
      <c r="D31" s="14"/>
      <c r="E31" s="14"/>
      <c r="F31" s="14"/>
      <c r="G31" s="14"/>
      <c r="H31" s="14"/>
    </row>
    <row r="32" spans="2:8" ht="15.75" customHeight="1" x14ac:dyDescent="0.2"/>
    <row r="33" spans="4:4" ht="15.75" customHeight="1" x14ac:dyDescent="0.2">
      <c r="D33" s="26"/>
    </row>
    <row r="34" spans="4:4" ht="15.75" customHeight="1" x14ac:dyDescent="0.2"/>
    <row r="35" spans="4:4" ht="15.75" customHeight="1" x14ac:dyDescent="0.2"/>
    <row r="36" spans="4:4" ht="15.75" customHeight="1" x14ac:dyDescent="0.2"/>
    <row r="37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7" width="18.140625" customWidth="1"/>
    <col min="8" max="8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150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46</v>
      </c>
      <c r="D7" s="84">
        <v>64000</v>
      </c>
      <c r="E7" s="9"/>
    </row>
    <row r="8" spans="2:5" ht="15.75" customHeight="1" x14ac:dyDescent="0.2">
      <c r="B8" s="8"/>
      <c r="C8" s="13" t="s">
        <v>47</v>
      </c>
      <c r="D8" s="84">
        <v>8300</v>
      </c>
      <c r="E8" s="9"/>
    </row>
    <row r="9" spans="2:5" ht="15.75" customHeight="1" x14ac:dyDescent="0.2">
      <c r="B9" s="8"/>
      <c r="C9" s="13" t="s">
        <v>48</v>
      </c>
      <c r="D9" s="281">
        <v>3</v>
      </c>
      <c r="E9" s="9"/>
    </row>
    <row r="10" spans="2:5" ht="15.75" customHeight="1" x14ac:dyDescent="0.2">
      <c r="B10" s="8"/>
      <c r="C10" s="13" t="s">
        <v>51</v>
      </c>
      <c r="D10" s="84">
        <v>7500</v>
      </c>
      <c r="E10" s="9"/>
    </row>
    <row r="11" spans="2:5" ht="15.75" customHeight="1" x14ac:dyDescent="0.2">
      <c r="B11" s="8"/>
      <c r="C11" s="13" t="s">
        <v>6</v>
      </c>
      <c r="D11" s="83">
        <v>0.34</v>
      </c>
      <c r="E11" s="9"/>
    </row>
    <row r="12" spans="2:5" ht="15.75" customHeight="1" x14ac:dyDescent="0.2">
      <c r="B12" s="8"/>
      <c r="C12" s="13" t="s">
        <v>32</v>
      </c>
      <c r="D12" s="83">
        <v>0.12</v>
      </c>
      <c r="E12" s="9"/>
    </row>
    <row r="13" spans="2:5" ht="15.75" customHeight="1" x14ac:dyDescent="0.2">
      <c r="B13" s="8"/>
      <c r="C13" s="13" t="s">
        <v>52</v>
      </c>
      <c r="D13" s="59"/>
      <c r="E13" s="9"/>
    </row>
    <row r="14" spans="2:5" ht="15.75" customHeight="1" thickBot="1" x14ac:dyDescent="0.25">
      <c r="B14" s="10"/>
      <c r="C14" s="28"/>
      <c r="D14" s="61"/>
      <c r="E14" s="12"/>
    </row>
    <row r="15" spans="2:5" ht="15.75" customHeight="1" x14ac:dyDescent="0.2"/>
    <row r="16" spans="2:5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</row>
    <row r="19" spans="2:8" ht="15.75" customHeight="1" x14ac:dyDescent="0.2">
      <c r="B19" s="18"/>
      <c r="C19" s="19" t="s">
        <v>436</v>
      </c>
      <c r="D19" s="141">
        <f>D10*D11</f>
        <v>2550</v>
      </c>
      <c r="E19" s="21"/>
      <c r="F19" s="30"/>
    </row>
    <row r="20" spans="2:8" ht="15.75" customHeight="1" x14ac:dyDescent="0.2">
      <c r="B20" s="18"/>
      <c r="C20" s="19" t="s">
        <v>28</v>
      </c>
      <c r="D20" s="141">
        <f>D10*(1-D11)</f>
        <v>4949.9999999999991</v>
      </c>
      <c r="E20" s="21"/>
      <c r="F20" s="30"/>
    </row>
    <row r="21" spans="2:8" ht="15.75" customHeight="1" x14ac:dyDescent="0.2">
      <c r="B21" s="18"/>
      <c r="C21" s="19" t="s">
        <v>54</v>
      </c>
      <c r="D21" s="141"/>
      <c r="E21" s="21"/>
      <c r="F21" s="30"/>
    </row>
    <row r="22" spans="2:8" ht="15.75" customHeight="1" x14ac:dyDescent="0.2">
      <c r="B22" s="18"/>
      <c r="C22" s="19" t="s">
        <v>11</v>
      </c>
      <c r="D22" s="141">
        <f>(-D8)*(1-D11)+D11*(D7/D9)</f>
        <v>1775.3333333333339</v>
      </c>
      <c r="E22" s="21"/>
      <c r="F22" s="30"/>
    </row>
    <row r="23" spans="2:8" ht="15.75" customHeight="1" x14ac:dyDescent="0.2">
      <c r="B23" s="18"/>
      <c r="C23" s="19" t="s">
        <v>21</v>
      </c>
      <c r="D23" s="141">
        <f>(-D7)+PV(D12,D9,-D22,0,0)+(D20/POWER(1+D12,D9))</f>
        <v>-56212.636661807577</v>
      </c>
      <c r="E23" s="21"/>
      <c r="F23" s="31"/>
    </row>
    <row r="24" spans="2:8" ht="15.75" customHeight="1" x14ac:dyDescent="0.25">
      <c r="B24" s="18"/>
      <c r="C24" s="19" t="s">
        <v>43</v>
      </c>
      <c r="D24" s="138">
        <f>D23/PV(D12,D9,-1,0,0)</f>
        <v>-23404.073968705528</v>
      </c>
      <c r="E24" s="21"/>
      <c r="F24" s="31"/>
    </row>
    <row r="25" spans="2:8" ht="15.75" customHeight="1" thickBot="1" x14ac:dyDescent="0.25">
      <c r="B25" s="23"/>
      <c r="C25" s="53"/>
      <c r="D25" s="63"/>
      <c r="E25" s="25"/>
      <c r="F25" s="30"/>
    </row>
    <row r="26" spans="2:8" ht="15.75" customHeight="1" x14ac:dyDescent="0.2">
      <c r="B26" s="14"/>
      <c r="C26" s="14"/>
      <c r="D26" s="14"/>
      <c r="E26" s="14"/>
      <c r="F26" s="14"/>
      <c r="G26" s="14"/>
      <c r="H26" s="14"/>
    </row>
    <row r="27" spans="2:8" ht="15.75" customHeight="1" x14ac:dyDescent="0.2"/>
    <row r="28" spans="2:8" ht="15.75" customHeight="1" x14ac:dyDescent="0.2">
      <c r="D28" s="26"/>
    </row>
    <row r="29" spans="2:8" ht="15.75" customHeight="1" x14ac:dyDescent="0.2"/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0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85546875" bestFit="1" customWidth="1"/>
    <col min="5" max="5" width="3.140625" customWidth="1"/>
    <col min="6" max="7" width="18.140625" customWidth="1"/>
    <col min="8" max="8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61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236</v>
      </c>
      <c r="D7" s="84">
        <v>415000</v>
      </c>
      <c r="E7" s="9"/>
    </row>
    <row r="8" spans="2:5" ht="15.75" customHeight="1" x14ac:dyDescent="0.2">
      <c r="B8" s="8"/>
      <c r="C8" s="13" t="s">
        <v>239</v>
      </c>
      <c r="D8" s="90">
        <v>5</v>
      </c>
      <c r="E8" s="9"/>
    </row>
    <row r="9" spans="2:5" ht="15.75" customHeight="1" x14ac:dyDescent="0.2">
      <c r="B9" s="8"/>
      <c r="C9" s="13" t="s">
        <v>244</v>
      </c>
      <c r="D9" s="84">
        <v>50000</v>
      </c>
      <c r="E9" s="9"/>
    </row>
    <row r="10" spans="2:5" ht="15.75" customHeight="1" x14ac:dyDescent="0.2">
      <c r="B10" s="8"/>
      <c r="C10" s="13" t="s">
        <v>245</v>
      </c>
      <c r="D10" s="84">
        <v>120000</v>
      </c>
      <c r="E10" s="9"/>
    </row>
    <row r="11" spans="2:5" ht="15.75" customHeight="1" x14ac:dyDescent="0.2">
      <c r="B11" s="8"/>
      <c r="C11" s="13" t="s">
        <v>246</v>
      </c>
      <c r="D11" s="264">
        <v>80000</v>
      </c>
      <c r="E11" s="9"/>
    </row>
    <row r="12" spans="2:5" ht="15.75" customHeight="1" x14ac:dyDescent="0.2">
      <c r="B12" s="8"/>
      <c r="C12" s="13" t="s">
        <v>6</v>
      </c>
      <c r="D12" s="152">
        <v>0.34</v>
      </c>
      <c r="E12" s="9"/>
    </row>
    <row r="13" spans="2:5" ht="15.75" customHeight="1" x14ac:dyDescent="0.2">
      <c r="B13" s="8"/>
      <c r="C13" s="13" t="s">
        <v>247</v>
      </c>
      <c r="D13" s="152">
        <v>0.09</v>
      </c>
      <c r="E13" s="9"/>
    </row>
    <row r="14" spans="2:5" ht="15.75" customHeight="1" x14ac:dyDescent="0.2">
      <c r="B14" s="8"/>
      <c r="C14" s="13" t="s">
        <v>52</v>
      </c>
      <c r="D14" s="59"/>
      <c r="E14" s="9"/>
    </row>
    <row r="15" spans="2:5" ht="15.75" customHeight="1" thickBot="1" x14ac:dyDescent="0.25">
      <c r="B15" s="10"/>
      <c r="C15" s="28"/>
      <c r="D15" s="61"/>
      <c r="E15" s="12"/>
    </row>
    <row r="16" spans="2:5" ht="15.75" customHeight="1" x14ac:dyDescent="0.2"/>
    <row r="17" spans="2:6" ht="15.75" customHeight="1" x14ac:dyDescent="0.2">
      <c r="C17" s="2" t="s">
        <v>2</v>
      </c>
    </row>
    <row r="18" spans="2:6" ht="15.75" customHeight="1" thickBot="1" x14ac:dyDescent="0.25"/>
    <row r="19" spans="2:6" ht="15.75" customHeight="1" x14ac:dyDescent="0.2">
      <c r="B19" s="15"/>
      <c r="C19" s="16"/>
      <c r="D19" s="16"/>
      <c r="E19" s="17"/>
      <c r="F19" s="30"/>
    </row>
    <row r="20" spans="2:6" ht="15.75" customHeight="1" x14ac:dyDescent="0.2">
      <c r="B20" s="18"/>
      <c r="C20" s="265" t="s">
        <v>92</v>
      </c>
      <c r="D20" s="19"/>
      <c r="E20" s="21"/>
      <c r="F20" s="30"/>
    </row>
    <row r="21" spans="2:6" ht="15.75" customHeight="1" x14ac:dyDescent="0.2">
      <c r="B21" s="18"/>
      <c r="C21" s="19" t="s">
        <v>185</v>
      </c>
      <c r="D21" s="79">
        <f>-D7</f>
        <v>-415000</v>
      </c>
      <c r="E21" s="21"/>
      <c r="F21" s="30"/>
    </row>
    <row r="22" spans="2:6" ht="15.75" customHeight="1" x14ac:dyDescent="0.2">
      <c r="B22" s="18"/>
      <c r="C22" s="19" t="s">
        <v>189</v>
      </c>
      <c r="D22" s="82">
        <f>D11</f>
        <v>80000</v>
      </c>
      <c r="E22" s="21"/>
      <c r="F22" s="30"/>
    </row>
    <row r="23" spans="2:6" ht="15.75" customHeight="1" x14ac:dyDescent="0.2">
      <c r="B23" s="18"/>
      <c r="C23" s="19" t="s">
        <v>200</v>
      </c>
      <c r="D23" s="79">
        <f>SUM(D21:D22)</f>
        <v>-335000</v>
      </c>
      <c r="E23" s="21"/>
      <c r="F23" s="30"/>
    </row>
    <row r="24" spans="2:6" ht="15.75" customHeight="1" x14ac:dyDescent="0.2">
      <c r="B24" s="18"/>
      <c r="C24" s="19"/>
      <c r="D24" s="19"/>
      <c r="E24" s="21"/>
      <c r="F24" s="30"/>
    </row>
    <row r="25" spans="2:6" ht="15.75" customHeight="1" x14ac:dyDescent="0.2">
      <c r="B25" s="18"/>
      <c r="C25" s="265" t="s">
        <v>190</v>
      </c>
      <c r="D25" s="19"/>
      <c r="E25" s="21"/>
      <c r="F25" s="30"/>
    </row>
    <row r="26" spans="2:6" ht="15.75" customHeight="1" x14ac:dyDescent="0.2">
      <c r="B26" s="18"/>
      <c r="C26" s="19" t="s">
        <v>245</v>
      </c>
      <c r="D26" s="79">
        <f>D10</f>
        <v>120000</v>
      </c>
      <c r="E26" s="21"/>
      <c r="F26" s="30"/>
    </row>
    <row r="27" spans="2:6" ht="15.75" customHeight="1" x14ac:dyDescent="0.2">
      <c r="B27" s="18"/>
      <c r="C27" s="19" t="s">
        <v>5</v>
      </c>
      <c r="D27" s="82">
        <f>-(D7/D8)</f>
        <v>-83000</v>
      </c>
      <c r="E27" s="21"/>
      <c r="F27" s="30"/>
    </row>
    <row r="28" spans="2:6" ht="15.75" customHeight="1" x14ac:dyDescent="0.2">
      <c r="B28" s="18"/>
      <c r="C28" s="19" t="s">
        <v>8</v>
      </c>
      <c r="D28" s="79">
        <f>D26+D27</f>
        <v>37000</v>
      </c>
      <c r="E28" s="21"/>
      <c r="F28" s="30"/>
    </row>
    <row r="29" spans="2:6" ht="15.75" customHeight="1" x14ac:dyDescent="0.2">
      <c r="B29" s="18"/>
      <c r="C29" s="19" t="s">
        <v>79</v>
      </c>
      <c r="D29" s="226">
        <f>-D28*D12</f>
        <v>-12580</v>
      </c>
      <c r="E29" s="21"/>
      <c r="F29" s="30"/>
    </row>
    <row r="30" spans="2:6" ht="15.75" customHeight="1" x14ac:dyDescent="0.2">
      <c r="B30" s="18"/>
      <c r="C30" s="19" t="s">
        <v>115</v>
      </c>
      <c r="D30" s="96">
        <f>D28+D29</f>
        <v>24420</v>
      </c>
      <c r="E30" s="21"/>
      <c r="F30" s="30"/>
    </row>
    <row r="31" spans="2:6" ht="15.75" customHeight="1" x14ac:dyDescent="0.2">
      <c r="B31" s="18"/>
      <c r="C31" s="19" t="s">
        <v>11</v>
      </c>
      <c r="D31" s="275">
        <f>D30-D27</f>
        <v>107420</v>
      </c>
      <c r="E31" s="21"/>
      <c r="F31" s="30"/>
    </row>
    <row r="32" spans="2:6" ht="15.75" customHeight="1" x14ac:dyDescent="0.2">
      <c r="B32" s="18"/>
      <c r="C32" s="19"/>
      <c r="D32" s="275"/>
      <c r="E32" s="21"/>
      <c r="F32" s="30"/>
    </row>
    <row r="33" spans="2:8" ht="15.75" customHeight="1" x14ac:dyDescent="0.2">
      <c r="B33" s="18"/>
      <c r="C33" s="265" t="s">
        <v>51</v>
      </c>
      <c r="D33" s="275"/>
      <c r="E33" s="21"/>
      <c r="F33" s="30"/>
    </row>
    <row r="34" spans="2:8" ht="15.75" customHeight="1" x14ac:dyDescent="0.2">
      <c r="B34" s="18"/>
      <c r="C34" s="19" t="s">
        <v>248</v>
      </c>
      <c r="D34" s="275">
        <f>D9</f>
        <v>50000</v>
      </c>
      <c r="E34" s="21"/>
      <c r="F34" s="30"/>
    </row>
    <row r="35" spans="2:8" ht="15.75" customHeight="1" x14ac:dyDescent="0.2">
      <c r="B35" s="18"/>
      <c r="C35" s="19" t="s">
        <v>79</v>
      </c>
      <c r="D35" s="226">
        <f>-D9*D12</f>
        <v>-17000</v>
      </c>
      <c r="E35" s="21"/>
      <c r="F35" s="30"/>
    </row>
    <row r="36" spans="2:8" ht="15.75" customHeight="1" x14ac:dyDescent="0.2">
      <c r="B36" s="18"/>
      <c r="C36" s="19"/>
      <c r="D36" s="275">
        <f>SUM(D34:D35)</f>
        <v>33000</v>
      </c>
      <c r="E36" s="21"/>
      <c r="F36" s="30"/>
    </row>
    <row r="37" spans="2:8" ht="15.75" customHeight="1" x14ac:dyDescent="0.2">
      <c r="B37" s="18"/>
      <c r="C37" s="19"/>
      <c r="D37" s="141"/>
      <c r="E37" s="21"/>
      <c r="F37" s="31"/>
    </row>
    <row r="38" spans="2:8" ht="15.75" customHeight="1" x14ac:dyDescent="0.25">
      <c r="B38" s="18"/>
      <c r="C38" s="19" t="s">
        <v>21</v>
      </c>
      <c r="D38" s="138">
        <f>NPV(D13,D31,D31,D31,D31,D31-D11+D36)+D23</f>
        <v>52279.563553219137</v>
      </c>
      <c r="E38" s="21"/>
      <c r="F38" s="31"/>
    </row>
    <row r="39" spans="2:8" ht="15.75" customHeight="1" thickBot="1" x14ac:dyDescent="0.25">
      <c r="B39" s="23"/>
      <c r="C39" s="53"/>
      <c r="D39" s="63"/>
      <c r="E39" s="25"/>
      <c r="F39" s="30"/>
    </row>
    <row r="40" spans="2:8" ht="15.75" customHeight="1" x14ac:dyDescent="0.2">
      <c r="B40" s="14"/>
      <c r="C40" s="14"/>
      <c r="D40" s="14"/>
      <c r="E40" s="14"/>
      <c r="F40" s="14"/>
      <c r="G40" s="14"/>
      <c r="H40" s="14"/>
    </row>
    <row r="41" spans="2:8" ht="15.75" customHeight="1" x14ac:dyDescent="0.2"/>
    <row r="42" spans="2:8" ht="15.75" customHeight="1" x14ac:dyDescent="0.2">
      <c r="D42" s="26"/>
    </row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9.5703125" bestFit="1" customWidth="1"/>
    <col min="5" max="5" width="3.140625" customWidth="1"/>
    <col min="6" max="6" width="19.42578125" customWidth="1"/>
    <col min="7" max="7" width="3.140625" customWidth="1"/>
    <col min="8" max="8" width="18.85546875" bestFit="1" customWidth="1"/>
    <col min="9" max="9" width="3.140625" customWidth="1"/>
    <col min="11" max="11" width="15.5703125" bestFit="1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65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236</v>
      </c>
      <c r="D7" s="84">
        <v>15600000</v>
      </c>
      <c r="E7" s="9"/>
    </row>
    <row r="8" spans="2:5" ht="15.75" customHeight="1" x14ac:dyDescent="0.2">
      <c r="B8" s="8"/>
      <c r="C8" s="13" t="s">
        <v>237</v>
      </c>
      <c r="D8" s="84">
        <v>5400000</v>
      </c>
      <c r="E8" s="9"/>
    </row>
    <row r="9" spans="2:5" ht="15.75" customHeight="1" x14ac:dyDescent="0.2">
      <c r="B9" s="8"/>
      <c r="C9" s="13" t="s">
        <v>238</v>
      </c>
      <c r="D9" s="274">
        <v>4100000</v>
      </c>
      <c r="E9" s="9"/>
    </row>
    <row r="10" spans="2:5" ht="15.75" customHeight="1" x14ac:dyDescent="0.2">
      <c r="B10" s="8"/>
      <c r="C10" s="13" t="s">
        <v>239</v>
      </c>
      <c r="D10" s="90">
        <v>4</v>
      </c>
      <c r="E10" s="9"/>
    </row>
    <row r="11" spans="2:5" ht="15.75" customHeight="1" x14ac:dyDescent="0.2">
      <c r="B11" s="8"/>
      <c r="C11" s="13" t="s">
        <v>142</v>
      </c>
      <c r="D11" s="84">
        <v>6300000</v>
      </c>
      <c r="E11" s="9"/>
    </row>
    <row r="12" spans="2:5" ht="15.75" customHeight="1" x14ac:dyDescent="0.2">
      <c r="B12" s="8"/>
      <c r="C12" s="13" t="s">
        <v>91</v>
      </c>
      <c r="D12" s="84">
        <v>250000</v>
      </c>
      <c r="E12" s="9"/>
    </row>
    <row r="13" spans="2:5" ht="15.75" customHeight="1" x14ac:dyDescent="0.2">
      <c r="B13" s="8"/>
      <c r="C13" s="13" t="s">
        <v>20</v>
      </c>
      <c r="D13" s="152">
        <v>0.1</v>
      </c>
      <c r="E13" s="9"/>
    </row>
    <row r="14" spans="2:5" ht="15.75" customHeight="1" x14ac:dyDescent="0.2">
      <c r="B14" s="8"/>
      <c r="C14" s="13" t="s">
        <v>6</v>
      </c>
      <c r="D14" s="152">
        <v>0.39</v>
      </c>
      <c r="E14" s="9"/>
    </row>
    <row r="15" spans="2:5" ht="15.75" customHeight="1" x14ac:dyDescent="0.2">
      <c r="B15" s="8"/>
      <c r="C15" s="13" t="s">
        <v>52</v>
      </c>
      <c r="D15" s="59"/>
      <c r="E15" s="9"/>
    </row>
    <row r="16" spans="2:5" ht="15.75" customHeight="1" thickBot="1" x14ac:dyDescent="0.25">
      <c r="B16" s="10"/>
      <c r="C16" s="28"/>
      <c r="D16" s="61"/>
      <c r="E16" s="12"/>
    </row>
    <row r="17" spans="2:10" ht="15.75" customHeight="1" x14ac:dyDescent="0.2"/>
    <row r="18" spans="2:10" ht="15.75" customHeight="1" x14ac:dyDescent="0.2">
      <c r="C18" s="2" t="s">
        <v>2</v>
      </c>
    </row>
    <row r="19" spans="2:10" ht="15.75" customHeight="1" thickBot="1" x14ac:dyDescent="0.25"/>
    <row r="20" spans="2:10" ht="15.75" customHeight="1" x14ac:dyDescent="0.2">
      <c r="B20" s="15"/>
      <c r="C20" s="16"/>
      <c r="D20" s="16"/>
      <c r="E20" s="16"/>
      <c r="F20" s="16"/>
      <c r="G20" s="16"/>
      <c r="H20" s="16"/>
      <c r="I20" s="17"/>
      <c r="J20" s="30"/>
    </row>
    <row r="21" spans="2:10" ht="30" x14ac:dyDescent="0.2">
      <c r="B21" s="18"/>
      <c r="C21" s="20"/>
      <c r="D21" s="332" t="s">
        <v>289</v>
      </c>
      <c r="E21" s="332"/>
      <c r="F21" s="332" t="s">
        <v>301</v>
      </c>
      <c r="G21" s="332"/>
      <c r="H21" s="333" t="s">
        <v>410</v>
      </c>
      <c r="I21" s="21"/>
      <c r="J21" s="30"/>
    </row>
    <row r="22" spans="2:10" ht="15.75" customHeight="1" x14ac:dyDescent="0.2">
      <c r="B22" s="18"/>
      <c r="C22" s="265" t="s">
        <v>422</v>
      </c>
      <c r="D22" s="265"/>
      <c r="E22" s="265"/>
      <c r="F22" s="265"/>
      <c r="G22" s="265"/>
      <c r="H22" s="20"/>
      <c r="I22" s="21"/>
      <c r="J22" s="30"/>
    </row>
    <row r="23" spans="2:10" ht="15.75" customHeight="1" x14ac:dyDescent="0.2">
      <c r="B23" s="18"/>
      <c r="C23" s="19" t="s">
        <v>240</v>
      </c>
      <c r="D23" s="79">
        <f>-D7</f>
        <v>-15600000</v>
      </c>
      <c r="E23" s="137"/>
      <c r="F23" s="137"/>
      <c r="G23" s="19"/>
      <c r="H23" s="79">
        <f>-D7</f>
        <v>-15600000</v>
      </c>
      <c r="I23" s="21"/>
      <c r="J23" s="30"/>
    </row>
    <row r="24" spans="2:10" ht="15.75" customHeight="1" x14ac:dyDescent="0.2">
      <c r="B24" s="18"/>
      <c r="C24" s="19" t="s">
        <v>91</v>
      </c>
      <c r="D24" s="80">
        <f>-D12</f>
        <v>-250000</v>
      </c>
      <c r="E24" s="137"/>
      <c r="F24" s="137"/>
      <c r="G24" s="19"/>
      <c r="H24" s="80">
        <f>-D12</f>
        <v>-250000</v>
      </c>
      <c r="I24" s="21"/>
      <c r="J24" s="30"/>
    </row>
    <row r="25" spans="2:10" ht="15.75" customHeight="1" x14ac:dyDescent="0.2">
      <c r="B25" s="18"/>
      <c r="C25" s="19" t="s">
        <v>429</v>
      </c>
      <c r="D25" s="137"/>
      <c r="E25" s="137"/>
      <c r="F25" s="79">
        <f>-D9</f>
        <v>-4100000</v>
      </c>
      <c r="G25" s="19"/>
      <c r="H25" s="80">
        <f>D9</f>
        <v>4100000</v>
      </c>
      <c r="I25" s="21"/>
      <c r="J25" s="30"/>
    </row>
    <row r="26" spans="2:10" ht="15.75" customHeight="1" x14ac:dyDescent="0.2">
      <c r="B26" s="18"/>
      <c r="C26" s="19" t="s">
        <v>241</v>
      </c>
      <c r="D26" s="334"/>
      <c r="E26" s="137"/>
      <c r="F26" s="82">
        <f>-H26</f>
        <v>-507000</v>
      </c>
      <c r="G26" s="19"/>
      <c r="H26" s="82">
        <f>(D8-D9)*D14</f>
        <v>507000</v>
      </c>
      <c r="I26" s="21"/>
      <c r="J26" s="30"/>
    </row>
    <row r="27" spans="2:10" ht="15.75" customHeight="1" x14ac:dyDescent="0.2">
      <c r="B27" s="18"/>
      <c r="C27" s="19" t="s">
        <v>200</v>
      </c>
      <c r="D27" s="79">
        <f>D23+D24</f>
        <v>-15850000</v>
      </c>
      <c r="E27" s="137"/>
      <c r="F27" s="79">
        <f>SUM(F25:F26)</f>
        <v>-4607000</v>
      </c>
      <c r="G27" s="20"/>
      <c r="H27" s="79">
        <f>H23+H24+H25+H26</f>
        <v>-11243000</v>
      </c>
      <c r="I27" s="21"/>
      <c r="J27" s="30"/>
    </row>
    <row r="28" spans="2:10" ht="15.75" customHeight="1" x14ac:dyDescent="0.2">
      <c r="B28" s="18"/>
      <c r="C28" s="20"/>
      <c r="D28" s="137"/>
      <c r="E28" s="137"/>
      <c r="F28" s="137"/>
      <c r="G28" s="20"/>
      <c r="H28" s="20"/>
      <c r="I28" s="21"/>
      <c r="J28" s="30"/>
    </row>
    <row r="29" spans="2:10" ht="15.75" customHeight="1" x14ac:dyDescent="0.2">
      <c r="B29" s="18"/>
      <c r="C29" s="265" t="s">
        <v>242</v>
      </c>
      <c r="D29" s="335"/>
      <c r="E29" s="335"/>
      <c r="F29" s="335"/>
      <c r="G29" s="265"/>
      <c r="H29" s="20"/>
      <c r="I29" s="21"/>
      <c r="J29" s="30"/>
    </row>
    <row r="30" spans="2:10" ht="15.75" customHeight="1" x14ac:dyDescent="0.2">
      <c r="B30" s="18"/>
      <c r="C30" s="19" t="s">
        <v>243</v>
      </c>
      <c r="D30" s="79">
        <f>D11</f>
        <v>6300000</v>
      </c>
      <c r="E30" s="137"/>
      <c r="F30" s="137"/>
      <c r="G30" s="19"/>
      <c r="H30" s="79">
        <f>D11</f>
        <v>6300000</v>
      </c>
      <c r="I30" s="21"/>
      <c r="J30" s="30"/>
    </row>
    <row r="31" spans="2:10" ht="15.75" customHeight="1" x14ac:dyDescent="0.2">
      <c r="B31" s="18"/>
      <c r="C31" s="19" t="s">
        <v>5</v>
      </c>
      <c r="D31" s="82">
        <f>D7/D10</f>
        <v>3900000</v>
      </c>
      <c r="E31" s="137"/>
      <c r="F31" s="184">
        <f>D8/D10</f>
        <v>1350000</v>
      </c>
      <c r="G31" s="19"/>
      <c r="H31" s="82">
        <f>((D7/D10)-(D8/D10))</f>
        <v>2550000</v>
      </c>
      <c r="I31" s="21"/>
      <c r="J31" s="30"/>
    </row>
    <row r="32" spans="2:10" ht="15.75" customHeight="1" x14ac:dyDescent="0.2">
      <c r="B32" s="18"/>
      <c r="C32" s="19" t="s">
        <v>8</v>
      </c>
      <c r="D32" s="79">
        <f>(D30-D31)</f>
        <v>2400000</v>
      </c>
      <c r="E32" s="137"/>
      <c r="F32" s="79">
        <f>-F31</f>
        <v>-1350000</v>
      </c>
      <c r="G32" s="19"/>
      <c r="H32" s="79">
        <f>H30-H31</f>
        <v>3750000</v>
      </c>
      <c r="I32" s="21"/>
      <c r="J32" s="30"/>
    </row>
    <row r="33" spans="2:11" ht="15.75" customHeight="1" x14ac:dyDescent="0.2">
      <c r="B33" s="18"/>
      <c r="C33" s="19" t="s">
        <v>79</v>
      </c>
      <c r="D33" s="82">
        <f>D32*D14</f>
        <v>936000</v>
      </c>
      <c r="E33" s="137"/>
      <c r="F33" s="82">
        <f>F32*D14</f>
        <v>-526500</v>
      </c>
      <c r="G33" s="19"/>
      <c r="H33" s="226">
        <f>H32*D14</f>
        <v>1462500</v>
      </c>
      <c r="I33" s="21"/>
      <c r="J33" s="30"/>
    </row>
    <row r="34" spans="2:11" ht="15.75" customHeight="1" thickBot="1" x14ac:dyDescent="0.25">
      <c r="B34" s="18"/>
      <c r="C34" s="19" t="s">
        <v>115</v>
      </c>
      <c r="D34" s="126">
        <f>D32-D33</f>
        <v>1464000</v>
      </c>
      <c r="E34" s="137"/>
      <c r="F34" s="126">
        <f>F32-F33</f>
        <v>-823500</v>
      </c>
      <c r="G34" s="19"/>
      <c r="H34" s="159">
        <f>H32-H33</f>
        <v>2287500</v>
      </c>
      <c r="I34" s="21"/>
      <c r="J34" s="30"/>
    </row>
    <row r="35" spans="2:11" ht="15.75" customHeight="1" thickTop="1" x14ac:dyDescent="0.2">
      <c r="B35" s="18"/>
      <c r="C35" s="19" t="s">
        <v>11</v>
      </c>
      <c r="D35" s="79">
        <f>D34+D31</f>
        <v>5364000</v>
      </c>
      <c r="E35" s="137"/>
      <c r="F35" s="79">
        <f>F34+F31</f>
        <v>526500</v>
      </c>
      <c r="G35" s="19"/>
      <c r="H35" s="275">
        <f>H34+H31</f>
        <v>4837500</v>
      </c>
      <c r="I35" s="21"/>
      <c r="J35" s="30"/>
    </row>
    <row r="36" spans="2:11" ht="15.75" customHeight="1" x14ac:dyDescent="0.2">
      <c r="B36" s="18"/>
      <c r="C36" s="19"/>
      <c r="D36" s="137"/>
      <c r="E36" s="137"/>
      <c r="F36" s="137"/>
      <c r="G36" s="19"/>
      <c r="H36" s="275"/>
      <c r="I36" s="21"/>
      <c r="J36" s="30"/>
    </row>
    <row r="37" spans="2:11" ht="15.75" customHeight="1" x14ac:dyDescent="0.35">
      <c r="B37" s="18"/>
      <c r="C37" s="156" t="s">
        <v>24</v>
      </c>
      <c r="D37" s="276" t="s">
        <v>25</v>
      </c>
      <c r="E37" s="336"/>
      <c r="F37" s="276" t="s">
        <v>25</v>
      </c>
      <c r="G37" s="156"/>
      <c r="H37" s="276" t="s">
        <v>25</v>
      </c>
      <c r="I37" s="21"/>
      <c r="J37" s="30"/>
    </row>
    <row r="38" spans="2:11" ht="15.75" customHeight="1" x14ac:dyDescent="0.2">
      <c r="B38" s="18"/>
      <c r="C38" s="76">
        <v>0</v>
      </c>
      <c r="D38" s="338">
        <f>D27</f>
        <v>-15850000</v>
      </c>
      <c r="E38" s="337"/>
      <c r="F38" s="338">
        <f>F27</f>
        <v>-4607000</v>
      </c>
      <c r="G38" s="76"/>
      <c r="H38" s="275">
        <f>H27</f>
        <v>-11243000</v>
      </c>
      <c r="I38" s="21"/>
      <c r="J38" s="30"/>
    </row>
    <row r="39" spans="2:11" ht="15.75" customHeight="1" x14ac:dyDescent="0.2">
      <c r="B39" s="18"/>
      <c r="C39" s="76">
        <v>1</v>
      </c>
      <c r="D39" s="339">
        <f>D35</f>
        <v>5364000</v>
      </c>
      <c r="E39" s="337"/>
      <c r="F39" s="339">
        <f>F35</f>
        <v>526500</v>
      </c>
      <c r="G39" s="76"/>
      <c r="H39" s="139">
        <f>H35</f>
        <v>4837500</v>
      </c>
      <c r="I39" s="21"/>
      <c r="J39" s="30"/>
    </row>
    <row r="40" spans="2:11" ht="15.75" customHeight="1" x14ac:dyDescent="0.2">
      <c r="B40" s="18"/>
      <c r="C40" s="76">
        <v>2</v>
      </c>
      <c r="D40" s="339">
        <f>D35</f>
        <v>5364000</v>
      </c>
      <c r="E40" s="337"/>
      <c r="F40" s="339">
        <f>F35</f>
        <v>526500</v>
      </c>
      <c r="G40" s="76"/>
      <c r="H40" s="139">
        <f>H35</f>
        <v>4837500</v>
      </c>
      <c r="I40" s="21"/>
      <c r="J40" s="30"/>
    </row>
    <row r="41" spans="2:11" ht="15.75" customHeight="1" x14ac:dyDescent="0.2">
      <c r="B41" s="18"/>
      <c r="C41" s="76">
        <v>3</v>
      </c>
      <c r="D41" s="339">
        <f>D35</f>
        <v>5364000</v>
      </c>
      <c r="E41" s="337"/>
      <c r="F41" s="339">
        <f>F35</f>
        <v>526500</v>
      </c>
      <c r="G41" s="76"/>
      <c r="H41" s="139">
        <f>H35</f>
        <v>4837500</v>
      </c>
      <c r="I41" s="21"/>
      <c r="J41" s="31"/>
    </row>
    <row r="42" spans="2:11" ht="15.75" customHeight="1" x14ac:dyDescent="0.2">
      <c r="B42" s="18"/>
      <c r="C42" s="76">
        <v>4</v>
      </c>
      <c r="D42" s="339">
        <f>D35+D12</f>
        <v>5614000</v>
      </c>
      <c r="E42" s="337"/>
      <c r="F42" s="339">
        <f>F35</f>
        <v>526500</v>
      </c>
      <c r="G42" s="76"/>
      <c r="H42" s="139">
        <f>H35+D12</f>
        <v>5087500</v>
      </c>
      <c r="I42" s="21"/>
      <c r="J42" s="31"/>
    </row>
    <row r="43" spans="2:11" ht="15.75" customHeight="1" x14ac:dyDescent="0.2">
      <c r="B43" s="18"/>
      <c r="C43" s="19"/>
      <c r="D43" s="19"/>
      <c r="E43" s="19"/>
      <c r="F43" s="19"/>
      <c r="G43" s="19"/>
      <c r="H43" s="141"/>
      <c r="I43" s="21"/>
      <c r="J43" s="31"/>
    </row>
    <row r="44" spans="2:11" ht="15.75" customHeight="1" x14ac:dyDescent="0.25">
      <c r="B44" s="18"/>
      <c r="C44" s="19" t="s">
        <v>21</v>
      </c>
      <c r="D44" s="130">
        <f>NPV(D13,D39:D42)+D38</f>
        <v>1323911.6180588715</v>
      </c>
      <c r="E44" s="19"/>
      <c r="F44" s="130">
        <f>NPV(D13,F39:F42)+F38</f>
        <v>-2938065.8424970973</v>
      </c>
      <c r="G44" s="19"/>
      <c r="H44" s="138">
        <f>NPV(D13,H39:H42)+H38</f>
        <v>4261977.4605559707</v>
      </c>
      <c r="I44" s="21"/>
      <c r="J44" s="31"/>
      <c r="K44" s="340"/>
    </row>
    <row r="45" spans="2:11" ht="15.75" customHeight="1" x14ac:dyDescent="0.2">
      <c r="B45" s="18"/>
      <c r="C45" s="19"/>
      <c r="D45" s="19"/>
      <c r="E45" s="19"/>
      <c r="F45" s="19"/>
      <c r="G45" s="19"/>
      <c r="H45" s="141"/>
      <c r="I45" s="21"/>
      <c r="J45" s="31"/>
    </row>
    <row r="46" spans="2:11" ht="15.75" customHeight="1" x14ac:dyDescent="0.25">
      <c r="B46" s="18"/>
      <c r="C46" s="19" t="s">
        <v>73</v>
      </c>
      <c r="D46" s="135">
        <f>IRR(D38:D42)</f>
        <v>0.13777172378915603</v>
      </c>
      <c r="E46" s="19"/>
      <c r="F46" s="135">
        <f>IRR(F38:F42)</f>
        <v>-0.25326454035877055</v>
      </c>
      <c r="G46" s="19"/>
      <c r="H46" s="162">
        <f>IRR(H38:H42)</f>
        <v>0.26401936114588742</v>
      </c>
      <c r="I46" s="21"/>
      <c r="J46" s="31"/>
    </row>
    <row r="47" spans="2:11" ht="15.75" customHeight="1" thickBot="1" x14ac:dyDescent="0.25">
      <c r="B47" s="23"/>
      <c r="C47" s="53"/>
      <c r="D47" s="53"/>
      <c r="E47" s="53"/>
      <c r="F47" s="53"/>
      <c r="G47" s="53"/>
      <c r="H47" s="63"/>
      <c r="I47" s="25"/>
      <c r="J47" s="30"/>
    </row>
    <row r="48" spans="2:11" ht="15.75" customHeight="1" x14ac:dyDescent="0.2">
      <c r="B48" s="14"/>
      <c r="C48" s="14"/>
      <c r="D48" s="14"/>
      <c r="E48" s="14"/>
      <c r="F48" s="14"/>
      <c r="G48" s="14"/>
      <c r="H48" s="14"/>
    </row>
    <row r="49" spans="4:6" ht="15.75" customHeight="1" x14ac:dyDescent="0.2"/>
    <row r="50" spans="4:6" ht="15.75" customHeight="1" x14ac:dyDescent="0.2">
      <c r="D50" s="26"/>
      <c r="F50" s="340"/>
    </row>
    <row r="51" spans="4:6" ht="15.75" customHeight="1" x14ac:dyDescent="0.2"/>
    <row r="52" spans="4:6" ht="15.75" customHeight="1" x14ac:dyDescent="0.2"/>
    <row r="53" spans="4:6" ht="15.75" customHeight="1" x14ac:dyDescent="0.2"/>
    <row r="54" spans="4:6" ht="15.75" customHeight="1" x14ac:dyDescent="0.2"/>
    <row r="55" spans="4:6" ht="15.75" customHeight="1" x14ac:dyDescent="0.2"/>
    <row r="56" spans="4:6" ht="15.75" customHeight="1" x14ac:dyDescent="0.2"/>
    <row r="57" spans="4:6" ht="15.75" customHeight="1" x14ac:dyDescent="0.2"/>
    <row r="58" spans="4:6" ht="15.75" customHeight="1" x14ac:dyDescent="0.2"/>
  </sheetData>
  <phoneticPr fontId="0" type="noConversion"/>
  <pageMargins left="0.75" right="0.75" top="1" bottom="1" header="0.5" footer="0.5"/>
  <pageSetup scale="84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8"/>
  <sheetViews>
    <sheetView zoomScaleNormal="100" workbookViewId="0">
      <selection activeCell="C2" sqref="C2"/>
    </sheetView>
  </sheetViews>
  <sheetFormatPr defaultRowHeight="12.75" x14ac:dyDescent="0.2"/>
  <cols>
    <col min="1" max="1" width="9.140625" style="352"/>
    <col min="2" max="2" width="3.140625" style="352" customWidth="1"/>
    <col min="3" max="3" width="32.85546875" style="352" customWidth="1"/>
    <col min="4" max="4" width="17.5703125" style="352" bestFit="1" customWidth="1"/>
    <col min="5" max="6" width="15.140625" style="352" customWidth="1"/>
    <col min="7" max="11" width="17.5703125" style="352" bestFit="1" customWidth="1"/>
    <col min="12" max="12" width="3.140625" style="352" customWidth="1"/>
    <col min="13" max="16384" width="9.140625" style="352"/>
  </cols>
  <sheetData>
    <row r="1" spans="2:5" ht="18" x14ac:dyDescent="0.25">
      <c r="C1" s="353" t="s">
        <v>434</v>
      </c>
    </row>
    <row r="2" spans="2:5" ht="15.75" customHeight="1" x14ac:dyDescent="0.2">
      <c r="C2" s="354" t="s">
        <v>70</v>
      </c>
    </row>
    <row r="3" spans="2:5" ht="15.75" customHeight="1" x14ac:dyDescent="0.2"/>
    <row r="4" spans="2:5" ht="15.75" customHeight="1" x14ac:dyDescent="0.2">
      <c r="C4" s="355" t="s">
        <v>1</v>
      </c>
    </row>
    <row r="5" spans="2:5" ht="15.75" customHeight="1" thickBot="1" x14ac:dyDescent="0.25"/>
    <row r="6" spans="2:5" ht="15.75" customHeight="1" x14ac:dyDescent="0.2">
      <c r="B6" s="356"/>
      <c r="C6" s="357"/>
      <c r="D6" s="357"/>
      <c r="E6" s="358"/>
    </row>
    <row r="7" spans="2:5" ht="15.75" customHeight="1" x14ac:dyDescent="0.2">
      <c r="B7" s="359"/>
      <c r="C7" s="360" t="s">
        <v>249</v>
      </c>
      <c r="D7" s="361">
        <v>750000</v>
      </c>
      <c r="E7" s="362"/>
    </row>
    <row r="8" spans="2:5" ht="15.75" customHeight="1" x14ac:dyDescent="0.2">
      <c r="B8" s="359"/>
      <c r="C8" s="360" t="s">
        <v>251</v>
      </c>
      <c r="D8" s="361">
        <v>635000</v>
      </c>
      <c r="E8" s="362"/>
    </row>
    <row r="9" spans="2:5" ht="15.75" customHeight="1" x14ac:dyDescent="0.2">
      <c r="B9" s="359"/>
      <c r="C9" s="360" t="s">
        <v>455</v>
      </c>
      <c r="D9" s="152">
        <v>0.05</v>
      </c>
      <c r="E9" s="362"/>
    </row>
    <row r="10" spans="2:5" ht="15.75" customHeight="1" x14ac:dyDescent="0.2">
      <c r="B10" s="359"/>
      <c r="C10" s="360" t="s">
        <v>252</v>
      </c>
      <c r="D10" s="361">
        <v>395000</v>
      </c>
      <c r="E10" s="362"/>
    </row>
    <row r="11" spans="2:5" ht="15.75" customHeight="1" x14ac:dyDescent="0.2">
      <c r="B11" s="359"/>
      <c r="C11" s="360" t="s">
        <v>250</v>
      </c>
      <c r="D11" s="152">
        <v>0.04</v>
      </c>
      <c r="E11" s="362"/>
    </row>
    <row r="12" spans="2:5" ht="15.75" customHeight="1" x14ac:dyDescent="0.2">
      <c r="B12" s="359"/>
      <c r="C12" s="360" t="s">
        <v>210</v>
      </c>
      <c r="D12" s="152">
        <v>7.0000000000000007E-2</v>
      </c>
      <c r="E12" s="362"/>
    </row>
    <row r="13" spans="2:5" ht="15.75" customHeight="1" x14ac:dyDescent="0.2">
      <c r="B13" s="359"/>
      <c r="C13" s="360" t="s">
        <v>6</v>
      </c>
      <c r="D13" s="152">
        <v>0.34</v>
      </c>
      <c r="E13" s="362"/>
    </row>
    <row r="14" spans="2:5" ht="15.75" customHeight="1" x14ac:dyDescent="0.2">
      <c r="B14" s="359"/>
      <c r="C14" s="360" t="s">
        <v>262</v>
      </c>
      <c r="D14" s="279">
        <v>7</v>
      </c>
      <c r="E14" s="362"/>
    </row>
    <row r="15" spans="2:5" ht="15.75" customHeight="1" x14ac:dyDescent="0.2">
      <c r="B15" s="359"/>
      <c r="C15" s="360" t="s">
        <v>52</v>
      </c>
      <c r="D15" s="424"/>
      <c r="E15" s="362"/>
    </row>
    <row r="16" spans="2:5" ht="15.75" customHeight="1" thickBot="1" x14ac:dyDescent="0.25">
      <c r="B16" s="364"/>
      <c r="C16" s="365"/>
      <c r="D16" s="366"/>
      <c r="E16" s="367"/>
    </row>
    <row r="17" spans="2:13" ht="15.75" customHeight="1" x14ac:dyDescent="0.2"/>
    <row r="18" spans="2:13" ht="15.75" customHeight="1" x14ac:dyDescent="0.2">
      <c r="C18" s="355" t="s">
        <v>2</v>
      </c>
    </row>
    <row r="19" spans="2:13" ht="15.75" customHeight="1" thickBot="1" x14ac:dyDescent="0.25"/>
    <row r="20" spans="2:13" ht="15.75" customHeight="1" x14ac:dyDescent="0.2">
      <c r="B20" s="368"/>
      <c r="C20" s="369"/>
      <c r="D20" s="369"/>
      <c r="E20" s="369"/>
      <c r="F20" s="369"/>
      <c r="G20" s="369"/>
      <c r="H20" s="369"/>
      <c r="I20" s="369"/>
      <c r="J20" s="369"/>
      <c r="K20" s="369"/>
      <c r="L20" s="370"/>
      <c r="M20" s="371"/>
    </row>
    <row r="21" spans="2:13" ht="15.75" customHeight="1" x14ac:dyDescent="0.2">
      <c r="B21" s="372"/>
      <c r="C21" s="376" t="s">
        <v>211</v>
      </c>
      <c r="D21" s="253">
        <f>((1+D12)*(1+D9))-1</f>
        <v>0.12350000000000017</v>
      </c>
      <c r="E21" s="374"/>
      <c r="F21" s="374"/>
      <c r="G21" s="374"/>
      <c r="H21" s="374"/>
      <c r="I21" s="374"/>
      <c r="J21" s="374"/>
      <c r="K21" s="374"/>
      <c r="L21" s="375"/>
      <c r="M21" s="371"/>
    </row>
    <row r="22" spans="2:13" ht="15.75" customHeight="1" x14ac:dyDescent="0.2">
      <c r="B22" s="372"/>
      <c r="C22" s="374"/>
      <c r="D22" s="374"/>
      <c r="E22" s="374"/>
      <c r="F22" s="374"/>
      <c r="G22" s="374"/>
      <c r="H22" s="374"/>
      <c r="I22" s="374"/>
      <c r="J22" s="374"/>
      <c r="K22" s="374"/>
      <c r="L22" s="375"/>
      <c r="M22" s="371"/>
    </row>
    <row r="23" spans="2:13" ht="15.75" customHeight="1" x14ac:dyDescent="0.2">
      <c r="B23" s="372"/>
      <c r="C23" s="373" t="s">
        <v>253</v>
      </c>
      <c r="D23" s="379" t="s">
        <v>180</v>
      </c>
      <c r="E23" s="379" t="s">
        <v>181</v>
      </c>
      <c r="F23" s="379" t="s">
        <v>182</v>
      </c>
      <c r="G23" s="379" t="s">
        <v>183</v>
      </c>
      <c r="H23" s="379" t="s">
        <v>184</v>
      </c>
      <c r="I23" s="379" t="s">
        <v>231</v>
      </c>
      <c r="J23" s="379" t="s">
        <v>255</v>
      </c>
      <c r="K23" s="379" t="s">
        <v>256</v>
      </c>
      <c r="L23" s="375"/>
      <c r="M23" s="371"/>
    </row>
    <row r="24" spans="2:13" ht="15.75" customHeight="1" x14ac:dyDescent="0.2">
      <c r="B24" s="372"/>
      <c r="C24" s="376" t="s">
        <v>254</v>
      </c>
      <c r="D24" s="376"/>
      <c r="E24" s="417">
        <f>D8</f>
        <v>635000</v>
      </c>
      <c r="F24" s="414">
        <f t="shared" ref="F24:K24" si="0">E24*(1+$D$9)</f>
        <v>666750</v>
      </c>
      <c r="G24" s="414">
        <f t="shared" si="0"/>
        <v>700087.5</v>
      </c>
      <c r="H24" s="414">
        <f t="shared" si="0"/>
        <v>735091.875</v>
      </c>
      <c r="I24" s="414">
        <f t="shared" si="0"/>
        <v>771846.46875</v>
      </c>
      <c r="J24" s="414">
        <f t="shared" si="0"/>
        <v>810438.79218750005</v>
      </c>
      <c r="K24" s="414">
        <f t="shared" si="0"/>
        <v>850960.73179687513</v>
      </c>
      <c r="L24" s="375"/>
      <c r="M24" s="371"/>
    </row>
    <row r="25" spans="2:13" ht="15.75" customHeight="1" x14ac:dyDescent="0.2">
      <c r="B25" s="372"/>
      <c r="C25" s="376" t="s">
        <v>14</v>
      </c>
      <c r="D25" s="376"/>
      <c r="E25" s="417">
        <f>D10</f>
        <v>395000</v>
      </c>
      <c r="F25" s="419">
        <f t="shared" ref="F25:K25" si="1">E25*(1+$D$11)</f>
        <v>410800</v>
      </c>
      <c r="G25" s="419">
        <f t="shared" si="1"/>
        <v>427232</v>
      </c>
      <c r="H25" s="419">
        <f t="shared" si="1"/>
        <v>444321.28000000003</v>
      </c>
      <c r="I25" s="419">
        <f t="shared" si="1"/>
        <v>462094.13120000006</v>
      </c>
      <c r="J25" s="419">
        <f t="shared" si="1"/>
        <v>480577.8964480001</v>
      </c>
      <c r="K25" s="419">
        <f t="shared" si="1"/>
        <v>499801.01230592013</v>
      </c>
      <c r="L25" s="375"/>
      <c r="M25" s="371"/>
    </row>
    <row r="26" spans="2:13" ht="15.75" customHeight="1" x14ac:dyDescent="0.2">
      <c r="B26" s="372"/>
      <c r="C26" s="376" t="s">
        <v>5</v>
      </c>
      <c r="D26" s="376"/>
      <c r="E26" s="420">
        <f>D7/7</f>
        <v>107142.85714285714</v>
      </c>
      <c r="F26" s="420">
        <f t="shared" ref="F26:K26" si="2">E26</f>
        <v>107142.85714285714</v>
      </c>
      <c r="G26" s="420">
        <f t="shared" si="2"/>
        <v>107142.85714285714</v>
      </c>
      <c r="H26" s="420">
        <f t="shared" si="2"/>
        <v>107142.85714285714</v>
      </c>
      <c r="I26" s="420">
        <f t="shared" si="2"/>
        <v>107142.85714285714</v>
      </c>
      <c r="J26" s="420">
        <f t="shared" si="2"/>
        <v>107142.85714285714</v>
      </c>
      <c r="K26" s="420">
        <f t="shared" si="2"/>
        <v>107142.85714285714</v>
      </c>
      <c r="L26" s="375"/>
      <c r="M26" s="371"/>
    </row>
    <row r="27" spans="2:13" ht="15.75" customHeight="1" x14ac:dyDescent="0.2">
      <c r="B27" s="372"/>
      <c r="C27" s="374" t="s">
        <v>8</v>
      </c>
      <c r="D27" s="374"/>
      <c r="E27" s="417">
        <f t="shared" ref="E27:K27" si="3">E24-E25-E26</f>
        <v>132857.14285714284</v>
      </c>
      <c r="F27" s="417">
        <f t="shared" si="3"/>
        <v>148807.14285714284</v>
      </c>
      <c r="G27" s="417">
        <f t="shared" si="3"/>
        <v>165712.64285714284</v>
      </c>
      <c r="H27" s="417">
        <f t="shared" si="3"/>
        <v>183627.73785714281</v>
      </c>
      <c r="I27" s="417">
        <f t="shared" si="3"/>
        <v>202609.48040714278</v>
      </c>
      <c r="J27" s="417">
        <f t="shared" si="3"/>
        <v>222718.03859664279</v>
      </c>
      <c r="K27" s="417">
        <f t="shared" si="3"/>
        <v>244016.86234809784</v>
      </c>
      <c r="L27" s="375"/>
      <c r="M27" s="371"/>
    </row>
    <row r="28" spans="2:13" ht="15.75" customHeight="1" x14ac:dyDescent="0.2">
      <c r="B28" s="372"/>
      <c r="C28" s="376" t="s">
        <v>79</v>
      </c>
      <c r="D28" s="376"/>
      <c r="E28" s="419">
        <f t="shared" ref="E28:K28" si="4">E27*$D$13</f>
        <v>45171.428571428572</v>
      </c>
      <c r="F28" s="419">
        <f t="shared" si="4"/>
        <v>50594.428571428572</v>
      </c>
      <c r="G28" s="419">
        <f t="shared" si="4"/>
        <v>56342.298571428568</v>
      </c>
      <c r="H28" s="419">
        <f t="shared" si="4"/>
        <v>62433.430871428558</v>
      </c>
      <c r="I28" s="419">
        <f t="shared" si="4"/>
        <v>68887.22333842855</v>
      </c>
      <c r="J28" s="419">
        <f t="shared" si="4"/>
        <v>75724.133122858548</v>
      </c>
      <c r="K28" s="419">
        <f t="shared" si="4"/>
        <v>82965.733198353279</v>
      </c>
      <c r="L28" s="375"/>
      <c r="M28" s="371"/>
    </row>
    <row r="29" spans="2:13" ht="15.75" customHeight="1" thickBot="1" x14ac:dyDescent="0.25">
      <c r="B29" s="372"/>
      <c r="C29" s="376" t="s">
        <v>115</v>
      </c>
      <c r="D29" s="376"/>
      <c r="E29" s="418">
        <f t="shared" ref="E29:K29" si="5">E27-E28</f>
        <v>87685.714285714261</v>
      </c>
      <c r="F29" s="418">
        <f t="shared" si="5"/>
        <v>98212.714285714261</v>
      </c>
      <c r="G29" s="418">
        <f t="shared" si="5"/>
        <v>109370.34428571427</v>
      </c>
      <c r="H29" s="418">
        <f t="shared" si="5"/>
        <v>121194.30698571425</v>
      </c>
      <c r="I29" s="418">
        <f t="shared" si="5"/>
        <v>133722.25706871424</v>
      </c>
      <c r="J29" s="418">
        <f t="shared" si="5"/>
        <v>146993.90547378425</v>
      </c>
      <c r="K29" s="418">
        <f t="shared" si="5"/>
        <v>161051.12914974458</v>
      </c>
      <c r="L29" s="375"/>
      <c r="M29" s="371"/>
    </row>
    <row r="30" spans="2:13" ht="15.75" customHeight="1" thickTop="1" x14ac:dyDescent="0.2">
      <c r="B30" s="372"/>
      <c r="C30" s="376" t="s">
        <v>11</v>
      </c>
      <c r="D30" s="376"/>
      <c r="E30" s="417">
        <f t="shared" ref="E30:K30" si="6">E29+E26</f>
        <v>194828.57142857142</v>
      </c>
      <c r="F30" s="417">
        <f t="shared" si="6"/>
        <v>205355.57142857142</v>
      </c>
      <c r="G30" s="417">
        <f t="shared" si="6"/>
        <v>216513.20142857142</v>
      </c>
      <c r="H30" s="417">
        <f t="shared" si="6"/>
        <v>228337.1641285714</v>
      </c>
      <c r="I30" s="417">
        <f t="shared" si="6"/>
        <v>240865.1142115714</v>
      </c>
      <c r="J30" s="417">
        <f t="shared" si="6"/>
        <v>254136.76261664141</v>
      </c>
      <c r="K30" s="417">
        <f t="shared" si="6"/>
        <v>268193.98629260174</v>
      </c>
      <c r="L30" s="375"/>
      <c r="M30" s="371"/>
    </row>
    <row r="31" spans="2:13" ht="15.75" customHeight="1" x14ac:dyDescent="0.2">
      <c r="B31" s="372"/>
      <c r="C31" s="376"/>
      <c r="D31" s="376"/>
      <c r="E31" s="376"/>
      <c r="F31" s="376"/>
      <c r="G31" s="376"/>
      <c r="H31" s="376"/>
      <c r="I31" s="376"/>
      <c r="J31" s="376"/>
      <c r="K31" s="376"/>
      <c r="L31" s="375"/>
      <c r="M31" s="371"/>
    </row>
    <row r="32" spans="2:13" ht="15.75" customHeight="1" x14ac:dyDescent="0.2">
      <c r="B32" s="372"/>
      <c r="C32" s="376" t="s">
        <v>119</v>
      </c>
      <c r="D32" s="416">
        <f>-D7</f>
        <v>-750000</v>
      </c>
      <c r="E32" s="415"/>
      <c r="F32" s="415"/>
      <c r="G32" s="415"/>
      <c r="H32" s="415"/>
      <c r="I32" s="415"/>
      <c r="J32" s="415"/>
      <c r="K32" s="415"/>
      <c r="L32" s="375"/>
      <c r="M32" s="371"/>
    </row>
    <row r="33" spans="2:13" ht="15.75" customHeight="1" x14ac:dyDescent="0.2">
      <c r="B33" s="372"/>
      <c r="C33" s="376"/>
      <c r="D33" s="376"/>
      <c r="E33" s="376"/>
      <c r="F33" s="376"/>
      <c r="G33" s="376"/>
      <c r="H33" s="376"/>
      <c r="I33" s="376"/>
      <c r="J33" s="376"/>
      <c r="K33" s="376"/>
      <c r="L33" s="375"/>
      <c r="M33" s="371"/>
    </row>
    <row r="34" spans="2:13" ht="15.75" customHeight="1" x14ac:dyDescent="0.2">
      <c r="B34" s="372"/>
      <c r="C34" s="376" t="s">
        <v>120</v>
      </c>
      <c r="D34" s="384">
        <f>D32</f>
        <v>-750000</v>
      </c>
      <c r="E34" s="414">
        <f t="shared" ref="E34:K34" si="7">E30</f>
        <v>194828.57142857142</v>
      </c>
      <c r="F34" s="414">
        <f t="shared" si="7"/>
        <v>205355.57142857142</v>
      </c>
      <c r="G34" s="414">
        <f t="shared" si="7"/>
        <v>216513.20142857142</v>
      </c>
      <c r="H34" s="414">
        <f t="shared" si="7"/>
        <v>228337.1641285714</v>
      </c>
      <c r="I34" s="414">
        <f t="shared" si="7"/>
        <v>240865.1142115714</v>
      </c>
      <c r="J34" s="414">
        <f t="shared" si="7"/>
        <v>254136.76261664141</v>
      </c>
      <c r="K34" s="414">
        <f t="shared" si="7"/>
        <v>268193.98629260174</v>
      </c>
      <c r="L34" s="375"/>
      <c r="M34" s="371"/>
    </row>
    <row r="35" spans="2:13" ht="15.75" customHeight="1" x14ac:dyDescent="0.2">
      <c r="B35" s="372"/>
      <c r="C35" s="374"/>
      <c r="D35" s="374"/>
      <c r="E35" s="374"/>
      <c r="F35" s="374"/>
      <c r="G35" s="374"/>
      <c r="H35" s="374"/>
      <c r="I35" s="374"/>
      <c r="J35" s="374"/>
      <c r="K35" s="374"/>
      <c r="L35" s="375"/>
      <c r="M35" s="371"/>
    </row>
    <row r="36" spans="2:13" ht="15.75" customHeight="1" x14ac:dyDescent="0.25">
      <c r="B36" s="372"/>
      <c r="C36" s="376" t="s">
        <v>21</v>
      </c>
      <c r="D36" s="385">
        <f>NPV(D21,E34:K34)+D34</f>
        <v>261708.29509875155</v>
      </c>
      <c r="E36" s="373"/>
      <c r="F36" s="373"/>
      <c r="G36" s="373"/>
      <c r="H36" s="373"/>
      <c r="I36" s="373"/>
      <c r="J36" s="373"/>
      <c r="K36" s="373"/>
      <c r="L36" s="375"/>
      <c r="M36" s="371"/>
    </row>
    <row r="37" spans="2:13" ht="15.75" customHeight="1" x14ac:dyDescent="0.2">
      <c r="B37" s="372"/>
      <c r="C37" s="376"/>
      <c r="D37" s="376"/>
      <c r="E37" s="376"/>
      <c r="F37" s="376"/>
      <c r="G37" s="376"/>
      <c r="H37" s="376"/>
      <c r="I37" s="376"/>
      <c r="J37" s="376"/>
      <c r="K37" s="376"/>
      <c r="L37" s="375"/>
      <c r="M37" s="371"/>
    </row>
    <row r="38" spans="2:13" ht="15.75" customHeight="1" x14ac:dyDescent="0.2">
      <c r="B38" s="372"/>
      <c r="C38" s="376"/>
      <c r="D38" s="376"/>
      <c r="E38" s="376"/>
      <c r="F38" s="376"/>
      <c r="G38" s="376"/>
      <c r="H38" s="376"/>
      <c r="I38" s="376"/>
      <c r="J38" s="376"/>
      <c r="K38" s="376"/>
      <c r="L38" s="375"/>
      <c r="M38" s="371"/>
    </row>
    <row r="39" spans="2:13" ht="15.75" customHeight="1" x14ac:dyDescent="0.2">
      <c r="B39" s="372"/>
      <c r="C39" s="376" t="s">
        <v>454</v>
      </c>
      <c r="D39" s="423">
        <f>D8/(1+D9)</f>
        <v>604761.90476190473</v>
      </c>
      <c r="E39" s="376"/>
      <c r="F39" s="376"/>
      <c r="G39" s="376"/>
      <c r="H39" s="376"/>
      <c r="I39" s="376"/>
      <c r="J39" s="376"/>
      <c r="K39" s="376"/>
      <c r="L39" s="375"/>
      <c r="M39" s="371"/>
    </row>
    <row r="40" spans="2:13" ht="15.75" customHeight="1" x14ac:dyDescent="0.2">
      <c r="B40" s="372"/>
      <c r="C40" s="376" t="s">
        <v>453</v>
      </c>
      <c r="D40" s="422">
        <f>D10/(1+D9)</f>
        <v>376190.47619047615</v>
      </c>
      <c r="E40" s="376"/>
      <c r="F40" s="376"/>
      <c r="G40" s="376"/>
      <c r="H40" s="376"/>
      <c r="I40" s="376"/>
      <c r="J40" s="376"/>
      <c r="K40" s="376"/>
      <c r="L40" s="375"/>
      <c r="M40" s="371"/>
    </row>
    <row r="41" spans="2:13" ht="15.75" customHeight="1" x14ac:dyDescent="0.2">
      <c r="B41" s="372"/>
      <c r="C41" s="376" t="s">
        <v>452</v>
      </c>
      <c r="D41" s="421">
        <f>((1+D11)/(1+D9))-1</f>
        <v>-9.52380952380949E-3</v>
      </c>
      <c r="E41" s="376"/>
      <c r="F41" s="376"/>
      <c r="G41" s="376"/>
      <c r="H41" s="376"/>
      <c r="I41" s="376"/>
      <c r="J41" s="376"/>
      <c r="K41" s="376"/>
      <c r="L41" s="375"/>
      <c r="M41" s="371"/>
    </row>
    <row r="42" spans="2:13" ht="15.75" customHeight="1" x14ac:dyDescent="0.2">
      <c r="B42" s="372"/>
      <c r="C42" s="376"/>
      <c r="D42" s="376"/>
      <c r="E42" s="376"/>
      <c r="F42" s="376"/>
      <c r="G42" s="376"/>
      <c r="H42" s="376"/>
      <c r="I42" s="376"/>
      <c r="J42" s="376"/>
      <c r="K42" s="376"/>
      <c r="L42" s="375"/>
      <c r="M42" s="371"/>
    </row>
    <row r="43" spans="2:13" ht="15.75" customHeight="1" x14ac:dyDescent="0.2">
      <c r="B43" s="372"/>
      <c r="C43" s="373" t="s">
        <v>451</v>
      </c>
      <c r="D43" s="379" t="s">
        <v>180</v>
      </c>
      <c r="E43" s="379" t="s">
        <v>181</v>
      </c>
      <c r="F43" s="379" t="s">
        <v>182</v>
      </c>
      <c r="G43" s="379" t="s">
        <v>183</v>
      </c>
      <c r="H43" s="379" t="s">
        <v>184</v>
      </c>
      <c r="I43" s="379" t="s">
        <v>231</v>
      </c>
      <c r="J43" s="379" t="s">
        <v>255</v>
      </c>
      <c r="K43" s="379" t="s">
        <v>256</v>
      </c>
      <c r="L43" s="375"/>
      <c r="M43" s="371"/>
    </row>
    <row r="44" spans="2:13" ht="15.75" customHeight="1" x14ac:dyDescent="0.2">
      <c r="B44" s="372"/>
      <c r="C44" s="376" t="s">
        <v>254</v>
      </c>
      <c r="D44" s="376"/>
      <c r="E44" s="417">
        <f t="shared" ref="E44:K44" si="8">$D$39</f>
        <v>604761.90476190473</v>
      </c>
      <c r="F44" s="417">
        <f t="shared" si="8"/>
        <v>604761.90476190473</v>
      </c>
      <c r="G44" s="417">
        <f t="shared" si="8"/>
        <v>604761.90476190473</v>
      </c>
      <c r="H44" s="417">
        <f t="shared" si="8"/>
        <v>604761.90476190473</v>
      </c>
      <c r="I44" s="417">
        <f t="shared" si="8"/>
        <v>604761.90476190473</v>
      </c>
      <c r="J44" s="417">
        <f t="shared" si="8"/>
        <v>604761.90476190473</v>
      </c>
      <c r="K44" s="417">
        <f t="shared" si="8"/>
        <v>604761.90476190473</v>
      </c>
      <c r="L44" s="375"/>
      <c r="M44" s="371"/>
    </row>
    <row r="45" spans="2:13" ht="15.75" customHeight="1" x14ac:dyDescent="0.2">
      <c r="B45" s="372"/>
      <c r="C45" s="376" t="s">
        <v>14</v>
      </c>
      <c r="D45" s="376"/>
      <c r="E45" s="417">
        <f>D40</f>
        <v>376190.47619047615</v>
      </c>
      <c r="F45" s="419">
        <f t="shared" ref="F45:K45" si="9">E45*(1+$D$41)</f>
        <v>372607.70975056686</v>
      </c>
      <c r="G45" s="419">
        <f t="shared" si="9"/>
        <v>369059.06489579956</v>
      </c>
      <c r="H45" s="419">
        <f t="shared" si="9"/>
        <v>365544.21665869671</v>
      </c>
      <c r="I45" s="419">
        <f t="shared" si="9"/>
        <v>362062.84316670912</v>
      </c>
      <c r="J45" s="419">
        <f t="shared" si="9"/>
        <v>358614.62561274046</v>
      </c>
      <c r="K45" s="419">
        <f t="shared" si="9"/>
        <v>355199.2482259525</v>
      </c>
      <c r="L45" s="375"/>
      <c r="M45" s="371"/>
    </row>
    <row r="46" spans="2:13" ht="15.75" customHeight="1" x14ac:dyDescent="0.2">
      <c r="B46" s="372"/>
      <c r="C46" s="376" t="s">
        <v>5</v>
      </c>
      <c r="D46" s="376"/>
      <c r="E46" s="420">
        <f>E26/(1+$D$9)</f>
        <v>102040.81632653061</v>
      </c>
      <c r="F46" s="420">
        <f>F26/(1+$D$9)^2</f>
        <v>97181.729834791055</v>
      </c>
      <c r="G46" s="420">
        <f>G26/(1+$D$9)^3</f>
        <v>92554.028414086715</v>
      </c>
      <c r="H46" s="420">
        <f>H26/(1+$D$9)^4</f>
        <v>88146.69372770164</v>
      </c>
      <c r="I46" s="420">
        <f>I26/(1+$D$9)^5</f>
        <v>83949.232121620604</v>
      </c>
      <c r="J46" s="420">
        <f>J26/(1+$D$9)^6</f>
        <v>79951.649639638679</v>
      </c>
      <c r="K46" s="420">
        <f>K26/(1+$D$9)^7</f>
        <v>76144.428228227305</v>
      </c>
      <c r="L46" s="375"/>
      <c r="M46" s="371"/>
    </row>
    <row r="47" spans="2:13" ht="15.75" customHeight="1" x14ac:dyDescent="0.2">
      <c r="B47" s="372"/>
      <c r="C47" s="374" t="s">
        <v>8</v>
      </c>
      <c r="D47" s="374"/>
      <c r="E47" s="417">
        <f t="shared" ref="E47:K47" si="10">E44-E45-E46</f>
        <v>126530.61224489797</v>
      </c>
      <c r="F47" s="417">
        <f t="shared" si="10"/>
        <v>134972.46517654683</v>
      </c>
      <c r="G47" s="417">
        <f t="shared" si="10"/>
        <v>143148.81145201845</v>
      </c>
      <c r="H47" s="417">
        <f t="shared" si="10"/>
        <v>151070.99437550639</v>
      </c>
      <c r="I47" s="417">
        <f t="shared" si="10"/>
        <v>158749.829473575</v>
      </c>
      <c r="J47" s="417">
        <f t="shared" si="10"/>
        <v>166195.62950952561</v>
      </c>
      <c r="K47" s="417">
        <f t="shared" si="10"/>
        <v>173418.22830772493</v>
      </c>
      <c r="L47" s="375"/>
      <c r="M47" s="371"/>
    </row>
    <row r="48" spans="2:13" ht="15.75" customHeight="1" x14ac:dyDescent="0.2">
      <c r="B48" s="372"/>
      <c r="C48" s="376" t="s">
        <v>79</v>
      </c>
      <c r="D48" s="376"/>
      <c r="E48" s="419">
        <f t="shared" ref="E48:K48" si="11">E47*$D$13</f>
        <v>43020.408163265311</v>
      </c>
      <c r="F48" s="419">
        <f t="shared" si="11"/>
        <v>45890.638160025926</v>
      </c>
      <c r="G48" s="419">
        <f t="shared" si="11"/>
        <v>48670.595893686273</v>
      </c>
      <c r="H48" s="419">
        <f t="shared" si="11"/>
        <v>51364.138087672174</v>
      </c>
      <c r="I48" s="419">
        <f t="shared" si="11"/>
        <v>53974.9420210155</v>
      </c>
      <c r="J48" s="419">
        <f t="shared" si="11"/>
        <v>56506.514033238709</v>
      </c>
      <c r="K48" s="419">
        <f t="shared" si="11"/>
        <v>58962.197624626482</v>
      </c>
      <c r="L48" s="375"/>
      <c r="M48" s="371"/>
    </row>
    <row r="49" spans="2:13" ht="15.75" customHeight="1" thickBot="1" x14ac:dyDescent="0.25">
      <c r="B49" s="372"/>
      <c r="C49" s="376" t="s">
        <v>115</v>
      </c>
      <c r="D49" s="376"/>
      <c r="E49" s="418">
        <f t="shared" ref="E49:K49" si="12">E47-E48</f>
        <v>83510.204081632663</v>
      </c>
      <c r="F49" s="418">
        <f t="shared" si="12"/>
        <v>89081.827016520896</v>
      </c>
      <c r="G49" s="418">
        <f t="shared" si="12"/>
        <v>94478.215558332173</v>
      </c>
      <c r="H49" s="418">
        <f t="shared" si="12"/>
        <v>99706.856287834205</v>
      </c>
      <c r="I49" s="418">
        <f t="shared" si="12"/>
        <v>104774.88745255949</v>
      </c>
      <c r="J49" s="418">
        <f t="shared" si="12"/>
        <v>109689.1154762869</v>
      </c>
      <c r="K49" s="418">
        <f t="shared" si="12"/>
        <v>114456.03068309845</v>
      </c>
      <c r="L49" s="375"/>
      <c r="M49" s="371"/>
    </row>
    <row r="50" spans="2:13" ht="15.75" customHeight="1" thickTop="1" x14ac:dyDescent="0.2">
      <c r="B50" s="372"/>
      <c r="C50" s="376" t="s">
        <v>11</v>
      </c>
      <c r="D50" s="376"/>
      <c r="E50" s="417">
        <f t="shared" ref="E50:K50" si="13">E49+E46</f>
        <v>185551.02040816325</v>
      </c>
      <c r="F50" s="417">
        <f t="shared" si="13"/>
        <v>186263.55685131194</v>
      </c>
      <c r="G50" s="417">
        <f t="shared" si="13"/>
        <v>187032.24397241889</v>
      </c>
      <c r="H50" s="417">
        <f t="shared" si="13"/>
        <v>187853.55001553585</v>
      </c>
      <c r="I50" s="417">
        <f t="shared" si="13"/>
        <v>188724.11957418011</v>
      </c>
      <c r="J50" s="417">
        <f t="shared" si="13"/>
        <v>189640.76511592558</v>
      </c>
      <c r="K50" s="417">
        <f t="shared" si="13"/>
        <v>190600.45891132575</v>
      </c>
      <c r="L50" s="375"/>
      <c r="M50" s="371"/>
    </row>
    <row r="51" spans="2:13" ht="15.75" customHeight="1" x14ac:dyDescent="0.2">
      <c r="B51" s="372"/>
      <c r="C51" s="376"/>
      <c r="D51" s="376"/>
      <c r="E51" s="376"/>
      <c r="F51" s="376"/>
      <c r="G51" s="376"/>
      <c r="H51" s="376"/>
      <c r="I51" s="376"/>
      <c r="J51" s="376"/>
      <c r="K51" s="376"/>
      <c r="L51" s="375"/>
      <c r="M51" s="371"/>
    </row>
    <row r="52" spans="2:13" ht="15.75" customHeight="1" x14ac:dyDescent="0.2">
      <c r="B52" s="372"/>
      <c r="C52" s="376" t="s">
        <v>119</v>
      </c>
      <c r="D52" s="416">
        <f>-D7</f>
        <v>-750000</v>
      </c>
      <c r="E52" s="415"/>
      <c r="F52" s="415"/>
      <c r="G52" s="415"/>
      <c r="H52" s="415"/>
      <c r="I52" s="415"/>
      <c r="J52" s="415"/>
      <c r="K52" s="415"/>
      <c r="L52" s="375"/>
      <c r="M52" s="371"/>
    </row>
    <row r="53" spans="2:13" ht="15.75" customHeight="1" x14ac:dyDescent="0.2">
      <c r="B53" s="372"/>
      <c r="C53" s="376"/>
      <c r="D53" s="376"/>
      <c r="E53" s="376"/>
      <c r="F53" s="376"/>
      <c r="G53" s="376"/>
      <c r="H53" s="376"/>
      <c r="I53" s="376"/>
      <c r="J53" s="376"/>
      <c r="K53" s="376"/>
      <c r="L53" s="375"/>
      <c r="M53" s="371"/>
    </row>
    <row r="54" spans="2:13" ht="15.75" customHeight="1" x14ac:dyDescent="0.2">
      <c r="B54" s="372"/>
      <c r="C54" s="376" t="s">
        <v>120</v>
      </c>
      <c r="D54" s="384">
        <f>D52</f>
        <v>-750000</v>
      </c>
      <c r="E54" s="414">
        <f t="shared" ref="E54:K54" si="14">E50</f>
        <v>185551.02040816325</v>
      </c>
      <c r="F54" s="414">
        <f t="shared" si="14"/>
        <v>186263.55685131194</v>
      </c>
      <c r="G54" s="414">
        <f t="shared" si="14"/>
        <v>187032.24397241889</v>
      </c>
      <c r="H54" s="414">
        <f t="shared" si="14"/>
        <v>187853.55001553585</v>
      </c>
      <c r="I54" s="414">
        <f t="shared" si="14"/>
        <v>188724.11957418011</v>
      </c>
      <c r="J54" s="414">
        <f t="shared" si="14"/>
        <v>189640.76511592558</v>
      </c>
      <c r="K54" s="414">
        <f t="shared" si="14"/>
        <v>190600.45891132575</v>
      </c>
      <c r="L54" s="375"/>
      <c r="M54" s="371"/>
    </row>
    <row r="55" spans="2:13" ht="15.75" customHeight="1" x14ac:dyDescent="0.2">
      <c r="B55" s="372"/>
      <c r="C55" s="374"/>
      <c r="D55" s="374"/>
      <c r="E55" s="374"/>
      <c r="F55" s="374"/>
      <c r="G55" s="374"/>
      <c r="H55" s="374"/>
      <c r="I55" s="374"/>
      <c r="J55" s="374"/>
      <c r="K55" s="374"/>
      <c r="L55" s="375"/>
      <c r="M55" s="371"/>
    </row>
    <row r="56" spans="2:13" ht="15.75" customHeight="1" x14ac:dyDescent="0.25">
      <c r="B56" s="372"/>
      <c r="C56" s="376" t="s">
        <v>21</v>
      </c>
      <c r="D56" s="385">
        <f>NPV(D12,E54:K54)+D54</f>
        <v>261708.29509875213</v>
      </c>
      <c r="E56" s="374"/>
      <c r="F56" s="374"/>
      <c r="G56" s="374"/>
      <c r="H56" s="374"/>
      <c r="I56" s="374"/>
      <c r="J56" s="374"/>
      <c r="K56" s="374"/>
      <c r="L56" s="375"/>
      <c r="M56" s="371"/>
    </row>
    <row r="57" spans="2:13" ht="15.75" customHeight="1" x14ac:dyDescent="0.2">
      <c r="B57" s="372"/>
      <c r="C57" s="374"/>
      <c r="D57" s="374"/>
      <c r="E57" s="374"/>
      <c r="F57" s="374"/>
      <c r="G57" s="374"/>
      <c r="H57" s="374"/>
      <c r="I57" s="374"/>
      <c r="J57" s="374"/>
      <c r="K57" s="374"/>
      <c r="L57" s="375"/>
      <c r="M57" s="371"/>
    </row>
    <row r="58" spans="2:13" ht="15.75" customHeight="1" x14ac:dyDescent="0.2">
      <c r="B58" s="372"/>
      <c r="C58" s="376" t="s">
        <v>257</v>
      </c>
      <c r="D58" s="414">
        <f>D8*((1/(D21-D9)-((1/(D21-D9))*(((1+D9)/(1+D21))^D14))))</f>
        <v>3259236.9238542095</v>
      </c>
      <c r="E58" s="376"/>
      <c r="F58" s="376"/>
      <c r="G58" s="376"/>
      <c r="H58" s="376"/>
      <c r="I58" s="376"/>
      <c r="J58" s="376"/>
      <c r="K58" s="376"/>
      <c r="L58" s="375"/>
      <c r="M58" s="371"/>
    </row>
    <row r="59" spans="2:13" ht="15.75" customHeight="1" x14ac:dyDescent="0.2">
      <c r="B59" s="372"/>
      <c r="C59" s="376" t="s">
        <v>258</v>
      </c>
      <c r="D59" s="414">
        <f>D58*(1-D13)</f>
        <v>2151096.3697437779</v>
      </c>
      <c r="E59" s="376"/>
      <c r="F59" s="376"/>
      <c r="G59" s="376"/>
      <c r="H59" s="376"/>
      <c r="I59" s="376"/>
      <c r="J59" s="376"/>
      <c r="K59" s="376"/>
      <c r="L59" s="375"/>
      <c r="M59" s="371"/>
    </row>
    <row r="60" spans="2:13" ht="15.75" customHeight="1" x14ac:dyDescent="0.2">
      <c r="B60" s="372"/>
      <c r="C60" s="376"/>
      <c r="D60" s="414"/>
      <c r="E60" s="376"/>
      <c r="F60" s="376"/>
      <c r="G60" s="376"/>
      <c r="H60" s="376"/>
      <c r="I60" s="376"/>
      <c r="J60" s="376"/>
      <c r="K60" s="376"/>
      <c r="L60" s="375"/>
      <c r="M60" s="371"/>
    </row>
    <row r="61" spans="2:13" ht="15.75" customHeight="1" x14ac:dyDescent="0.2">
      <c r="B61" s="372"/>
      <c r="C61" s="376" t="s">
        <v>259</v>
      </c>
      <c r="D61" s="414">
        <f>D10*((1/(D21-D11)-((1/(D21-D11))*(((1+D11)/(1+D21))^D14))))</f>
        <v>1975470.0627984996</v>
      </c>
      <c r="E61" s="376"/>
      <c r="F61" s="376"/>
      <c r="G61" s="376"/>
      <c r="H61" s="376"/>
      <c r="I61" s="376"/>
      <c r="J61" s="376"/>
      <c r="K61" s="376"/>
      <c r="L61" s="375"/>
      <c r="M61" s="371"/>
    </row>
    <row r="62" spans="2:13" ht="15.75" customHeight="1" x14ac:dyDescent="0.2">
      <c r="B62" s="372"/>
      <c r="C62" s="408" t="s">
        <v>260</v>
      </c>
      <c r="D62" s="413">
        <f>D61*(1-D13)</f>
        <v>1303810.2414470096</v>
      </c>
      <c r="E62" s="412"/>
      <c r="F62" s="412"/>
      <c r="G62" s="412"/>
      <c r="H62" s="412"/>
      <c r="I62" s="412"/>
      <c r="J62" s="412"/>
      <c r="K62" s="412"/>
      <c r="L62" s="375"/>
      <c r="M62" s="371"/>
    </row>
    <row r="63" spans="2:13" ht="15.75" customHeight="1" x14ac:dyDescent="0.2">
      <c r="B63" s="372"/>
      <c r="C63" s="408"/>
      <c r="D63" s="411"/>
      <c r="E63" s="406"/>
      <c r="F63" s="406"/>
      <c r="G63" s="406"/>
      <c r="H63" s="406"/>
      <c r="I63" s="406"/>
      <c r="J63" s="406"/>
      <c r="K63" s="406"/>
      <c r="L63" s="375"/>
      <c r="M63" s="371"/>
    </row>
    <row r="64" spans="2:13" ht="15.75" customHeight="1" x14ac:dyDescent="0.2">
      <c r="B64" s="372"/>
      <c r="C64" s="408" t="s">
        <v>261</v>
      </c>
      <c r="D64" s="410">
        <f>PV(D21,D14,-(D7/D14))*D13</f>
        <v>164422.16680198206</v>
      </c>
      <c r="E64" s="406"/>
      <c r="F64" s="406"/>
      <c r="G64" s="406"/>
      <c r="H64" s="406"/>
      <c r="I64" s="406"/>
      <c r="J64" s="406"/>
      <c r="K64" s="406"/>
      <c r="L64" s="375"/>
      <c r="M64" s="371"/>
    </row>
    <row r="65" spans="2:13" ht="15.75" customHeight="1" x14ac:dyDescent="0.2">
      <c r="B65" s="372"/>
      <c r="C65" s="408"/>
      <c r="D65" s="409"/>
      <c r="E65" s="406"/>
      <c r="F65" s="406"/>
      <c r="G65" s="406"/>
      <c r="H65" s="406"/>
      <c r="I65" s="406"/>
      <c r="J65" s="406"/>
      <c r="K65" s="406"/>
      <c r="L65" s="375"/>
      <c r="M65" s="371"/>
    </row>
    <row r="66" spans="2:13" ht="15.75" customHeight="1" x14ac:dyDescent="0.25">
      <c r="B66" s="372"/>
      <c r="C66" s="408" t="s">
        <v>21</v>
      </c>
      <c r="D66" s="407">
        <f>-D7+D59-D62+D64</f>
        <v>261708.29509875036</v>
      </c>
      <c r="E66" s="406"/>
      <c r="F66" s="406"/>
      <c r="G66" s="406"/>
      <c r="H66" s="406"/>
      <c r="I66" s="406"/>
      <c r="J66" s="406"/>
      <c r="K66" s="406"/>
      <c r="L66" s="375"/>
      <c r="M66" s="405"/>
    </row>
    <row r="67" spans="2:13" ht="15.75" customHeight="1" thickBot="1" x14ac:dyDescent="0.25">
      <c r="B67" s="386"/>
      <c r="C67" s="387"/>
      <c r="D67" s="387"/>
      <c r="E67" s="387"/>
      <c r="F67" s="387"/>
      <c r="G67" s="387"/>
      <c r="H67" s="387"/>
      <c r="I67" s="387"/>
      <c r="J67" s="387"/>
      <c r="K67" s="387"/>
      <c r="L67" s="388"/>
      <c r="M67" s="371"/>
    </row>
    <row r="68" spans="2:13" ht="15.75" customHeight="1" x14ac:dyDescent="0.2">
      <c r="B68" s="389"/>
      <c r="C68" s="389"/>
      <c r="D68" s="389"/>
      <c r="E68" s="389"/>
      <c r="F68" s="389"/>
      <c r="G68" s="389"/>
      <c r="H68" s="389"/>
    </row>
    <row r="69" spans="2:13" ht="15.75" customHeight="1" x14ac:dyDescent="0.2"/>
    <row r="70" spans="2:13" ht="15.75" customHeight="1" x14ac:dyDescent="0.2">
      <c r="D70" s="390"/>
    </row>
    <row r="71" spans="2:13" ht="15.75" customHeight="1" x14ac:dyDescent="0.2"/>
    <row r="72" spans="2:13" ht="15.75" customHeight="1" x14ac:dyDescent="0.2"/>
    <row r="73" spans="2:13" ht="15.75" customHeight="1" x14ac:dyDescent="0.2"/>
    <row r="74" spans="2:13" ht="15.75" customHeight="1" x14ac:dyDescent="0.2"/>
    <row r="75" spans="2:13" ht="15.75" customHeight="1" x14ac:dyDescent="0.2"/>
    <row r="76" spans="2:13" ht="15.75" customHeight="1" x14ac:dyDescent="0.2"/>
    <row r="77" spans="2:13" ht="15.75" customHeight="1" x14ac:dyDescent="0.2"/>
    <row r="78" spans="2:13" ht="15.75" customHeight="1" x14ac:dyDescent="0.2"/>
  </sheetData>
  <pageMargins left="0.75" right="0.75" top="1" bottom="1" header="0.5" footer="0.5"/>
  <pageSetup scale="55" orientation="portrait" horizontalDpi="360" verticalDpi="360" r:id="rId1"/>
  <headerFooter alignWithMargins="0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7.5703125" bestFit="1" customWidth="1"/>
    <col min="5" max="9" width="15.140625" customWidth="1"/>
    <col min="10" max="10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71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265</v>
      </c>
      <c r="D7" s="90">
        <v>9500</v>
      </c>
      <c r="E7" s="9"/>
    </row>
    <row r="8" spans="2:5" ht="15.75" customHeight="1" x14ac:dyDescent="0.2">
      <c r="B8" s="8"/>
      <c r="C8" s="13" t="s">
        <v>264</v>
      </c>
      <c r="D8" s="152">
        <v>0.08</v>
      </c>
      <c r="E8" s="9"/>
    </row>
    <row r="9" spans="2:5" ht="15.75" customHeight="1" x14ac:dyDescent="0.2">
      <c r="B9" s="8"/>
      <c r="C9" s="13" t="s">
        <v>91</v>
      </c>
      <c r="D9" s="264">
        <v>45000</v>
      </c>
      <c r="E9" s="9"/>
    </row>
    <row r="10" spans="2:5" ht="15.75" customHeight="1" x14ac:dyDescent="0.2">
      <c r="B10" s="8"/>
      <c r="C10" s="13" t="s">
        <v>81</v>
      </c>
      <c r="D10" s="84">
        <v>115000</v>
      </c>
      <c r="E10" s="9"/>
    </row>
    <row r="11" spans="2:5" ht="15.75" customHeight="1" x14ac:dyDescent="0.2">
      <c r="B11" s="8"/>
      <c r="C11" s="13" t="s">
        <v>80</v>
      </c>
      <c r="D11" s="264">
        <v>21</v>
      </c>
      <c r="E11" s="9"/>
    </row>
    <row r="12" spans="2:5" ht="15.75" customHeight="1" x14ac:dyDescent="0.2">
      <c r="B12" s="8"/>
      <c r="C12" s="13" t="s">
        <v>109</v>
      </c>
      <c r="D12" s="264">
        <v>53</v>
      </c>
      <c r="E12" s="9"/>
    </row>
    <row r="13" spans="2:5" ht="15.75" customHeight="1" x14ac:dyDescent="0.2">
      <c r="B13" s="8"/>
      <c r="C13" s="13" t="s">
        <v>31</v>
      </c>
      <c r="D13" s="264">
        <v>190000</v>
      </c>
      <c r="E13" s="9"/>
    </row>
    <row r="14" spans="2:5" ht="15.75" customHeight="1" x14ac:dyDescent="0.2">
      <c r="B14" s="8"/>
      <c r="C14" s="13" t="s">
        <v>6</v>
      </c>
      <c r="D14" s="152">
        <v>0.34</v>
      </c>
      <c r="E14" s="9"/>
    </row>
    <row r="15" spans="2:5" ht="15.75" customHeight="1" x14ac:dyDescent="0.2">
      <c r="B15" s="8"/>
      <c r="C15" s="13" t="s">
        <v>20</v>
      </c>
      <c r="D15" s="152">
        <v>0.18</v>
      </c>
      <c r="E15" s="9"/>
    </row>
    <row r="16" spans="2:5" ht="15.75" customHeight="1" x14ac:dyDescent="0.2">
      <c r="B16" s="8"/>
      <c r="C16" s="13" t="s">
        <v>52</v>
      </c>
      <c r="D16" s="59"/>
      <c r="E16" s="9"/>
    </row>
    <row r="17" spans="2:11" ht="15.75" customHeight="1" thickBot="1" x14ac:dyDescent="0.25">
      <c r="B17" s="10"/>
      <c r="C17" s="28"/>
      <c r="D17" s="61"/>
      <c r="E17" s="12"/>
    </row>
    <row r="18" spans="2:11" ht="15.75" customHeight="1" x14ac:dyDescent="0.2"/>
    <row r="19" spans="2:11" ht="15.75" customHeight="1" x14ac:dyDescent="0.2">
      <c r="C19" s="2" t="s">
        <v>2</v>
      </c>
    </row>
    <row r="20" spans="2:11" ht="15.75" customHeight="1" thickBot="1" x14ac:dyDescent="0.25"/>
    <row r="21" spans="2:11" ht="15.75" customHeight="1" x14ac:dyDescent="0.2">
      <c r="B21" s="15"/>
      <c r="C21" s="16"/>
      <c r="D21" s="16"/>
      <c r="E21" s="16"/>
      <c r="F21" s="16"/>
      <c r="G21" s="16"/>
      <c r="H21" s="16"/>
      <c r="I21" s="16"/>
      <c r="J21" s="17"/>
      <c r="K21" s="30"/>
    </row>
    <row r="22" spans="2:11" ht="15.75" customHeight="1" x14ac:dyDescent="0.2">
      <c r="B22" s="18"/>
      <c r="C22" s="19" t="s">
        <v>266</v>
      </c>
      <c r="D22" s="20"/>
      <c r="E22" s="80">
        <f>D7</f>
        <v>9500</v>
      </c>
      <c r="F22" s="80">
        <f>(E22*(1+$D$8))</f>
        <v>10260</v>
      </c>
      <c r="G22" s="80">
        <f>(F22*(1+$D$8))</f>
        <v>11080.800000000001</v>
      </c>
      <c r="H22" s="80">
        <f>(G22*(1+$D$8))</f>
        <v>11967.264000000003</v>
      </c>
      <c r="I22" s="80">
        <f>(H22*(1+$D$8))</f>
        <v>12924.645120000005</v>
      </c>
      <c r="J22" s="21"/>
      <c r="K22" s="30"/>
    </row>
    <row r="23" spans="2:11" ht="15.75" customHeight="1" x14ac:dyDescent="0.2">
      <c r="B23" s="18"/>
      <c r="C23" s="20"/>
      <c r="D23" s="20"/>
      <c r="E23" s="20"/>
      <c r="F23" s="20"/>
      <c r="G23" s="20"/>
      <c r="H23" s="20"/>
      <c r="I23" s="20"/>
      <c r="J23" s="21"/>
      <c r="K23" s="30"/>
    </row>
    <row r="24" spans="2:11" ht="15.75" customHeight="1" x14ac:dyDescent="0.2">
      <c r="B24" s="18"/>
      <c r="C24" s="265"/>
      <c r="D24" s="266" t="s">
        <v>180</v>
      </c>
      <c r="E24" s="266" t="s">
        <v>181</v>
      </c>
      <c r="F24" s="266" t="s">
        <v>182</v>
      </c>
      <c r="G24" s="266" t="s">
        <v>183</v>
      </c>
      <c r="H24" s="266" t="s">
        <v>184</v>
      </c>
      <c r="I24" s="266" t="s">
        <v>231</v>
      </c>
      <c r="J24" s="21"/>
      <c r="K24" s="30"/>
    </row>
    <row r="25" spans="2:11" ht="15.75" customHeight="1" x14ac:dyDescent="0.2">
      <c r="B25" s="18"/>
      <c r="C25" s="19" t="s">
        <v>254</v>
      </c>
      <c r="D25" s="19"/>
      <c r="E25" s="223">
        <f>E22*$D$12</f>
        <v>503500</v>
      </c>
      <c r="F25" s="223">
        <f>F22*$D$12</f>
        <v>543780</v>
      </c>
      <c r="G25" s="223">
        <f>G22*$D$12</f>
        <v>587282.4</v>
      </c>
      <c r="H25" s="223">
        <f>H22*$D$12</f>
        <v>634264.9920000002</v>
      </c>
      <c r="I25" s="223">
        <f>I22*$D$12</f>
        <v>685006.19136000029</v>
      </c>
      <c r="J25" s="21"/>
      <c r="K25" s="30"/>
    </row>
    <row r="26" spans="2:11" ht="15.75" customHeight="1" x14ac:dyDescent="0.2">
      <c r="B26" s="18"/>
      <c r="C26" s="19" t="s">
        <v>81</v>
      </c>
      <c r="D26" s="19"/>
      <c r="E26" s="232">
        <f>$D$10</f>
        <v>115000</v>
      </c>
      <c r="F26" s="232">
        <f>$D$10</f>
        <v>115000</v>
      </c>
      <c r="G26" s="232">
        <f>$D$10</f>
        <v>115000</v>
      </c>
      <c r="H26" s="232">
        <f>$D$10</f>
        <v>115000</v>
      </c>
      <c r="I26" s="232">
        <f>$D$10</f>
        <v>115000</v>
      </c>
      <c r="J26" s="21"/>
      <c r="K26" s="30"/>
    </row>
    <row r="27" spans="2:11" ht="15.75" customHeight="1" x14ac:dyDescent="0.2">
      <c r="B27" s="18"/>
      <c r="C27" s="19" t="s">
        <v>80</v>
      </c>
      <c r="D27" s="19"/>
      <c r="E27" s="232">
        <f>E22*$D$11</f>
        <v>199500</v>
      </c>
      <c r="F27" s="232">
        <f>F22*$D$11</f>
        <v>215460</v>
      </c>
      <c r="G27" s="232">
        <f>G22*$D$11</f>
        <v>232696.80000000002</v>
      </c>
      <c r="H27" s="232">
        <f>H22*$D$11</f>
        <v>251312.54400000005</v>
      </c>
      <c r="I27" s="232">
        <f>I22*$D$11</f>
        <v>271417.54752000008</v>
      </c>
      <c r="J27" s="21"/>
      <c r="K27" s="30"/>
    </row>
    <row r="28" spans="2:11" ht="15.75" customHeight="1" x14ac:dyDescent="0.2">
      <c r="B28" s="18"/>
      <c r="C28" s="19" t="s">
        <v>5</v>
      </c>
      <c r="D28" s="19"/>
      <c r="E28" s="278">
        <f>D13/5</f>
        <v>38000</v>
      </c>
      <c r="F28" s="278">
        <f>E28</f>
        <v>38000</v>
      </c>
      <c r="G28" s="278">
        <f>F28</f>
        <v>38000</v>
      </c>
      <c r="H28" s="278">
        <f>G28</f>
        <v>38000</v>
      </c>
      <c r="I28" s="278">
        <f>H28</f>
        <v>38000</v>
      </c>
      <c r="J28" s="21"/>
      <c r="K28" s="30"/>
    </row>
    <row r="29" spans="2:11" ht="15.75" customHeight="1" x14ac:dyDescent="0.2">
      <c r="B29" s="18"/>
      <c r="C29" s="19" t="s">
        <v>8</v>
      </c>
      <c r="D29" s="20"/>
      <c r="E29" s="223">
        <f>E25-E26-E27-E28</f>
        <v>151000</v>
      </c>
      <c r="F29" s="223">
        <f>F25-F26-F27-F28</f>
        <v>175320</v>
      </c>
      <c r="G29" s="223">
        <f>G25-G26-G27-G28</f>
        <v>201585.6</v>
      </c>
      <c r="H29" s="223">
        <f>H25-H26-H27-H28</f>
        <v>229952.44800000015</v>
      </c>
      <c r="I29" s="223">
        <f>I25-I26-I27-I28</f>
        <v>260588.64384000021</v>
      </c>
      <c r="J29" s="21"/>
      <c r="K29" s="30"/>
    </row>
    <row r="30" spans="2:11" ht="15.75" customHeight="1" x14ac:dyDescent="0.2">
      <c r="B30" s="18"/>
      <c r="C30" s="19" t="s">
        <v>79</v>
      </c>
      <c r="D30" s="19"/>
      <c r="E30" s="232">
        <f>E29*$D$14</f>
        <v>51340.000000000007</v>
      </c>
      <c r="F30" s="232">
        <f>F29*$D$14</f>
        <v>59608.800000000003</v>
      </c>
      <c r="G30" s="232">
        <f>G29*$D$14</f>
        <v>68539.104000000007</v>
      </c>
      <c r="H30" s="232">
        <f>H29*$D$14</f>
        <v>78183.83232000006</v>
      </c>
      <c r="I30" s="232">
        <f>I29*$D$14</f>
        <v>88600.138905600077</v>
      </c>
      <c r="J30" s="21"/>
      <c r="K30" s="30"/>
    </row>
    <row r="31" spans="2:11" ht="15.75" customHeight="1" thickBot="1" x14ac:dyDescent="0.25">
      <c r="B31" s="18"/>
      <c r="C31" s="19" t="s">
        <v>115</v>
      </c>
      <c r="D31" s="19"/>
      <c r="E31" s="277">
        <f>E29-E30</f>
        <v>99660</v>
      </c>
      <c r="F31" s="277">
        <f>F29-F30</f>
        <v>115711.2</v>
      </c>
      <c r="G31" s="277">
        <f>G29-G30</f>
        <v>133046.49599999998</v>
      </c>
      <c r="H31" s="277">
        <f>H29-H30</f>
        <v>151768.6156800001</v>
      </c>
      <c r="I31" s="277">
        <f>I29-I30</f>
        <v>171988.50493440015</v>
      </c>
      <c r="J31" s="21"/>
      <c r="K31" s="30"/>
    </row>
    <row r="32" spans="2:11" ht="15.75" customHeight="1" thickTop="1" x14ac:dyDescent="0.2">
      <c r="B32" s="18"/>
      <c r="C32" s="19" t="s">
        <v>11</v>
      </c>
      <c r="D32" s="19"/>
      <c r="E32" s="223">
        <f>E31+E28</f>
        <v>137660</v>
      </c>
      <c r="F32" s="223">
        <f>F31+F28</f>
        <v>153711.20000000001</v>
      </c>
      <c r="G32" s="223">
        <f>G31+G28</f>
        <v>171046.49599999998</v>
      </c>
      <c r="H32" s="223">
        <f>H31+H28</f>
        <v>189768.6156800001</v>
      </c>
      <c r="I32" s="223">
        <f>I31+I28</f>
        <v>209988.50493440015</v>
      </c>
      <c r="J32" s="21"/>
      <c r="K32" s="30"/>
    </row>
    <row r="33" spans="2:11" ht="15.75" customHeight="1" x14ac:dyDescent="0.2">
      <c r="B33" s="18"/>
      <c r="C33" s="19"/>
      <c r="D33" s="19"/>
      <c r="E33" s="19"/>
      <c r="F33" s="19"/>
      <c r="G33" s="19"/>
      <c r="H33" s="19"/>
      <c r="I33" s="19"/>
      <c r="J33" s="21"/>
      <c r="K33" s="30"/>
    </row>
    <row r="34" spans="2:11" ht="15.75" customHeight="1" x14ac:dyDescent="0.2">
      <c r="B34" s="18"/>
      <c r="C34" s="19" t="s">
        <v>119</v>
      </c>
      <c r="D34" s="79">
        <f>-D13</f>
        <v>-190000</v>
      </c>
      <c r="E34" s="19"/>
      <c r="F34" s="19"/>
      <c r="G34" s="19"/>
      <c r="H34" s="19"/>
      <c r="I34" s="19"/>
      <c r="J34" s="21"/>
      <c r="K34" s="30"/>
    </row>
    <row r="35" spans="2:11" ht="15.75" customHeight="1" x14ac:dyDescent="0.2">
      <c r="B35" s="18"/>
      <c r="C35" s="19" t="s">
        <v>91</v>
      </c>
      <c r="D35" s="82">
        <f>-D9</f>
        <v>-45000</v>
      </c>
      <c r="E35" s="399"/>
      <c r="F35" s="399"/>
      <c r="G35" s="399"/>
      <c r="H35" s="399"/>
      <c r="I35" s="82">
        <f>D9</f>
        <v>45000</v>
      </c>
      <c r="J35" s="21"/>
      <c r="K35" s="30"/>
    </row>
    <row r="36" spans="2:11" ht="15.75" customHeight="1" x14ac:dyDescent="0.2">
      <c r="B36" s="18"/>
      <c r="C36" s="19"/>
      <c r="D36" s="19"/>
      <c r="E36" s="19"/>
      <c r="F36" s="19"/>
      <c r="G36" s="19"/>
      <c r="H36" s="19"/>
      <c r="I36" s="19"/>
      <c r="J36" s="21"/>
      <c r="K36" s="30"/>
    </row>
    <row r="37" spans="2:11" ht="15.75" customHeight="1" x14ac:dyDescent="0.2">
      <c r="B37" s="18"/>
      <c r="C37" s="19" t="s">
        <v>120</v>
      </c>
      <c r="D37" s="86">
        <f t="shared" ref="D37:I37" si="0">D34+D35+D32</f>
        <v>-235000</v>
      </c>
      <c r="E37" s="86">
        <f t="shared" si="0"/>
        <v>137660</v>
      </c>
      <c r="F37" s="86">
        <f t="shared" si="0"/>
        <v>153711.20000000001</v>
      </c>
      <c r="G37" s="86">
        <f t="shared" si="0"/>
        <v>171046.49599999998</v>
      </c>
      <c r="H37" s="86">
        <f t="shared" si="0"/>
        <v>189768.6156800001</v>
      </c>
      <c r="I37" s="86">
        <f t="shared" si="0"/>
        <v>254988.50493440015</v>
      </c>
      <c r="J37" s="21"/>
      <c r="K37" s="30"/>
    </row>
    <row r="38" spans="2:11" ht="15.75" customHeight="1" x14ac:dyDescent="0.2">
      <c r="B38" s="18"/>
      <c r="C38" s="20"/>
      <c r="D38" s="20"/>
      <c r="E38" s="20"/>
      <c r="F38" s="20"/>
      <c r="G38" s="20"/>
      <c r="H38" s="20"/>
      <c r="I38" s="20"/>
      <c r="J38" s="21"/>
      <c r="K38" s="30"/>
    </row>
    <row r="39" spans="2:11" ht="15.75" customHeight="1" x14ac:dyDescent="0.25">
      <c r="B39" s="18"/>
      <c r="C39" s="19" t="s">
        <v>21</v>
      </c>
      <c r="D39" s="130">
        <f>NPV(D15,E37:I37)+D37</f>
        <v>305496.55195871333</v>
      </c>
      <c r="E39" s="265"/>
      <c r="F39" s="265"/>
      <c r="G39" s="265"/>
      <c r="H39" s="265"/>
      <c r="I39" s="265"/>
      <c r="J39" s="21"/>
      <c r="K39" s="30"/>
    </row>
    <row r="40" spans="2:11" ht="15.75" customHeight="1" x14ac:dyDescent="0.25">
      <c r="B40" s="18"/>
      <c r="C40" s="19"/>
      <c r="D40" s="87"/>
      <c r="E40" s="265"/>
      <c r="F40" s="265"/>
      <c r="G40" s="265"/>
      <c r="H40" s="265"/>
      <c r="I40" s="265"/>
      <c r="J40" s="21"/>
      <c r="K40" s="30"/>
    </row>
    <row r="41" spans="2:11" ht="15.75" customHeight="1" x14ac:dyDescent="0.25">
      <c r="B41" s="18"/>
      <c r="C41" s="265" t="s">
        <v>411</v>
      </c>
      <c r="D41" s="87"/>
      <c r="E41" s="265"/>
      <c r="F41" s="265"/>
      <c r="G41" s="265"/>
      <c r="H41" s="265"/>
      <c r="I41" s="265"/>
      <c r="J41" s="21"/>
      <c r="K41" s="30"/>
    </row>
    <row r="42" spans="2:11" ht="15.75" customHeight="1" x14ac:dyDescent="0.2">
      <c r="B42" s="18"/>
      <c r="C42" s="19" t="s">
        <v>412</v>
      </c>
      <c r="D42" s="86">
        <f>E25*((1/($D$15-$D$8))-((1/($D$15-$D$8))*(((1+$D$8)/(1+$D$15))^5)))</f>
        <v>1801236.7902814823</v>
      </c>
      <c r="E42" s="265"/>
      <c r="F42" s="265"/>
      <c r="G42" s="265"/>
      <c r="H42" s="265"/>
      <c r="I42" s="265"/>
      <c r="J42" s="21"/>
      <c r="K42" s="30"/>
    </row>
    <row r="43" spans="2:11" ht="15.75" customHeight="1" x14ac:dyDescent="0.2">
      <c r="B43" s="18"/>
      <c r="C43" s="19" t="s">
        <v>413</v>
      </c>
      <c r="D43" s="86">
        <f>E27*((1/($D$15-$D$8))-((1/($D$15-$D$8))*(((1+$D$8)/(1+$D$15))^5)))</f>
        <v>713697.59614926658</v>
      </c>
      <c r="E43" s="265"/>
      <c r="F43" s="265"/>
      <c r="G43" s="265"/>
      <c r="H43" s="265"/>
      <c r="I43" s="265"/>
      <c r="J43" s="21"/>
      <c r="K43" s="30"/>
    </row>
    <row r="44" spans="2:11" ht="15.75" customHeight="1" x14ac:dyDescent="0.2">
      <c r="B44" s="18"/>
      <c r="C44" s="19" t="s">
        <v>414</v>
      </c>
      <c r="D44" s="86">
        <f>PV(D15,5,-E26)</f>
        <v>359624.66740831803</v>
      </c>
      <c r="E44" s="265"/>
      <c r="F44" s="265"/>
      <c r="G44" s="265"/>
      <c r="H44" s="265"/>
      <c r="I44" s="265"/>
      <c r="J44" s="21"/>
      <c r="K44" s="30"/>
    </row>
    <row r="45" spans="2:11" ht="15.75" customHeight="1" x14ac:dyDescent="0.2">
      <c r="B45" s="18"/>
      <c r="C45" s="19" t="s">
        <v>415</v>
      </c>
      <c r="D45" s="86">
        <f>PV(D15,5,-E28)</f>
        <v>118832.49879579204</v>
      </c>
      <c r="E45" s="265"/>
      <c r="F45" s="265"/>
      <c r="G45" s="265"/>
      <c r="H45" s="265"/>
      <c r="I45" s="265"/>
      <c r="J45" s="21"/>
      <c r="K45" s="30"/>
    </row>
    <row r="46" spans="2:11" ht="15.75" customHeight="1" x14ac:dyDescent="0.25">
      <c r="B46" s="18"/>
      <c r="C46" s="19"/>
      <c r="D46" s="87"/>
      <c r="E46" s="265"/>
      <c r="F46" s="265"/>
      <c r="G46" s="265"/>
      <c r="H46" s="265"/>
      <c r="I46" s="265"/>
      <c r="J46" s="21"/>
      <c r="K46" s="30"/>
    </row>
    <row r="47" spans="2:11" ht="15.75" customHeight="1" x14ac:dyDescent="0.25">
      <c r="B47" s="18"/>
      <c r="C47" s="19" t="s">
        <v>21</v>
      </c>
      <c r="D47" s="130">
        <f>D37+((D42-D43-D44)*(1-D14))+(D45*D14)+(I35/((1+D15)^5))</f>
        <v>305496.5519587124</v>
      </c>
      <c r="E47" s="265"/>
      <c r="F47" s="265"/>
      <c r="G47" s="265"/>
      <c r="H47" s="265"/>
      <c r="I47" s="265"/>
      <c r="J47" s="21"/>
      <c r="K47" s="30"/>
    </row>
    <row r="48" spans="2:11" ht="15.75" customHeight="1" thickBot="1" x14ac:dyDescent="0.25">
      <c r="B48" s="23"/>
      <c r="C48" s="53"/>
      <c r="D48" s="53"/>
      <c r="E48" s="53"/>
      <c r="F48" s="53"/>
      <c r="G48" s="53"/>
      <c r="H48" s="53"/>
      <c r="I48" s="53"/>
      <c r="J48" s="25"/>
      <c r="K48" s="30"/>
    </row>
    <row r="49" spans="2:8" ht="15.75" customHeight="1" x14ac:dyDescent="0.2">
      <c r="B49" s="14"/>
      <c r="C49" s="14"/>
      <c r="D49" s="14"/>
      <c r="E49" s="14"/>
      <c r="F49" s="14"/>
      <c r="G49" s="14"/>
      <c r="H49" s="14"/>
    </row>
    <row r="50" spans="2:8" ht="15.75" customHeight="1" x14ac:dyDescent="0.2"/>
    <row r="51" spans="2:8" ht="15.75" customHeight="1" x14ac:dyDescent="0.2">
      <c r="D51" s="26"/>
    </row>
    <row r="52" spans="2:8" ht="15.75" customHeight="1" x14ac:dyDescent="0.2"/>
    <row r="53" spans="2:8" ht="15.75" customHeight="1" x14ac:dyDescent="0.2"/>
    <row r="54" spans="2:8" ht="15.75" customHeight="1" x14ac:dyDescent="0.2"/>
    <row r="55" spans="2:8" ht="15.75" customHeight="1" x14ac:dyDescent="0.2"/>
    <row r="56" spans="2:8" ht="15.75" customHeight="1" x14ac:dyDescent="0.2"/>
    <row r="57" spans="2:8" ht="15.75" customHeight="1" x14ac:dyDescent="0.2"/>
    <row r="58" spans="2:8" ht="15.75" customHeight="1" x14ac:dyDescent="0.2"/>
    <row r="59" spans="2:8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zoomScaleNormal="100" workbookViewId="0">
      <selection activeCell="C2" sqref="C2"/>
    </sheetView>
  </sheetViews>
  <sheetFormatPr defaultRowHeight="12.75" x14ac:dyDescent="0.2"/>
  <cols>
    <col min="1" max="1" width="9.140625" style="352"/>
    <col min="2" max="2" width="3.140625" style="352" customWidth="1"/>
    <col min="3" max="3" width="23.140625" style="352" customWidth="1"/>
    <col min="4" max="4" width="18.28515625" style="352" bestFit="1" customWidth="1"/>
    <col min="5" max="8" width="17.5703125" style="352" bestFit="1" customWidth="1"/>
    <col min="9" max="9" width="3.140625" style="352" customWidth="1"/>
    <col min="10" max="16384" width="9.140625" style="352"/>
  </cols>
  <sheetData>
    <row r="1" spans="2:5" ht="18" x14ac:dyDescent="0.25">
      <c r="C1" s="353" t="s">
        <v>434</v>
      </c>
    </row>
    <row r="2" spans="2:5" ht="15.75" customHeight="1" x14ac:dyDescent="0.2">
      <c r="C2" s="354" t="s">
        <v>263</v>
      </c>
    </row>
    <row r="3" spans="2:5" ht="15.75" customHeight="1" x14ac:dyDescent="0.2"/>
    <row r="4" spans="2:5" ht="15.75" customHeight="1" x14ac:dyDescent="0.2">
      <c r="C4" s="355" t="s">
        <v>1</v>
      </c>
    </row>
    <row r="5" spans="2:5" ht="15.75" customHeight="1" thickBot="1" x14ac:dyDescent="0.25"/>
    <row r="6" spans="2:5" ht="15.75" customHeight="1" x14ac:dyDescent="0.2">
      <c r="B6" s="356"/>
      <c r="C6" s="357"/>
      <c r="D6" s="357"/>
      <c r="E6" s="358"/>
    </row>
    <row r="7" spans="2:5" ht="15.75" customHeight="1" x14ac:dyDescent="0.2">
      <c r="B7" s="359"/>
      <c r="C7" s="360" t="s">
        <v>267</v>
      </c>
      <c r="D7" s="361"/>
      <c r="E7" s="362"/>
    </row>
    <row r="8" spans="2:5" ht="15.75" customHeight="1" x14ac:dyDescent="0.2">
      <c r="B8" s="359"/>
      <c r="C8" s="360" t="s">
        <v>438</v>
      </c>
      <c r="D8" s="264">
        <v>900000</v>
      </c>
      <c r="E8" s="362"/>
    </row>
    <row r="9" spans="2:5" ht="15.75" customHeight="1" x14ac:dyDescent="0.2">
      <c r="B9" s="359"/>
      <c r="C9" s="360" t="s">
        <v>439</v>
      </c>
      <c r="D9" s="264">
        <v>1200000</v>
      </c>
      <c r="E9" s="362"/>
    </row>
    <row r="10" spans="2:5" ht="15.75" customHeight="1" x14ac:dyDescent="0.2">
      <c r="B10" s="359"/>
      <c r="C10" s="360" t="s">
        <v>274</v>
      </c>
      <c r="D10" s="264"/>
      <c r="E10" s="362"/>
    </row>
    <row r="11" spans="2:5" ht="15.75" customHeight="1" x14ac:dyDescent="0.2">
      <c r="B11" s="359"/>
      <c r="C11" s="360" t="s">
        <v>268</v>
      </c>
      <c r="D11" s="363">
        <v>6500</v>
      </c>
      <c r="E11" s="362"/>
    </row>
    <row r="12" spans="2:5" ht="15.75" customHeight="1" x14ac:dyDescent="0.2">
      <c r="B12" s="359"/>
      <c r="C12" s="360" t="s">
        <v>269</v>
      </c>
      <c r="D12" s="279">
        <v>7100</v>
      </c>
      <c r="E12" s="362"/>
    </row>
    <row r="13" spans="2:5" ht="15.75" customHeight="1" x14ac:dyDescent="0.2">
      <c r="B13" s="359"/>
      <c r="C13" s="360" t="s">
        <v>270</v>
      </c>
      <c r="D13" s="279">
        <v>8900</v>
      </c>
      <c r="E13" s="362"/>
    </row>
    <row r="14" spans="2:5" ht="15.75" customHeight="1" x14ac:dyDescent="0.2">
      <c r="B14" s="359"/>
      <c r="C14" s="360" t="s">
        <v>271</v>
      </c>
      <c r="D14" s="279">
        <v>5800</v>
      </c>
      <c r="E14" s="362"/>
    </row>
    <row r="15" spans="2:5" ht="15.75" customHeight="1" x14ac:dyDescent="0.2">
      <c r="B15" s="359"/>
      <c r="C15" s="360" t="s">
        <v>272</v>
      </c>
      <c r="D15" s="264">
        <v>295</v>
      </c>
      <c r="E15" s="362"/>
    </row>
    <row r="16" spans="2:5" ht="15.75" customHeight="1" x14ac:dyDescent="0.2">
      <c r="B16" s="359"/>
      <c r="C16" s="360" t="s">
        <v>81</v>
      </c>
      <c r="D16" s="264">
        <v>330000</v>
      </c>
      <c r="E16" s="362"/>
    </row>
    <row r="17" spans="2:10" ht="15.75" customHeight="1" x14ac:dyDescent="0.2">
      <c r="B17" s="359"/>
      <c r="C17" s="360" t="s">
        <v>80</v>
      </c>
      <c r="D17" s="152">
        <v>0.15</v>
      </c>
      <c r="E17" s="362"/>
    </row>
    <row r="18" spans="2:10" ht="15.75" customHeight="1" x14ac:dyDescent="0.2">
      <c r="B18" s="359"/>
      <c r="C18" s="360" t="s">
        <v>273</v>
      </c>
      <c r="D18" s="264">
        <v>3100000</v>
      </c>
      <c r="E18" s="362"/>
    </row>
    <row r="19" spans="2:10" ht="15.75" customHeight="1" x14ac:dyDescent="0.2">
      <c r="B19" s="359"/>
      <c r="C19" s="360" t="s">
        <v>33</v>
      </c>
      <c r="D19" s="264">
        <v>280000</v>
      </c>
      <c r="E19" s="362"/>
    </row>
    <row r="20" spans="2:10" ht="15.75" customHeight="1" x14ac:dyDescent="0.2">
      <c r="B20" s="359"/>
      <c r="C20" s="360" t="s">
        <v>91</v>
      </c>
      <c r="D20" s="264">
        <v>120000</v>
      </c>
      <c r="E20" s="362"/>
    </row>
    <row r="21" spans="2:10" ht="15.75" customHeight="1" x14ac:dyDescent="0.2">
      <c r="B21" s="359"/>
      <c r="C21" s="360" t="s">
        <v>6</v>
      </c>
      <c r="D21" s="152">
        <v>0.38</v>
      </c>
      <c r="E21" s="362"/>
    </row>
    <row r="22" spans="2:10" ht="15.75" customHeight="1" x14ac:dyDescent="0.2">
      <c r="B22" s="359"/>
      <c r="C22" s="360" t="s">
        <v>20</v>
      </c>
      <c r="D22" s="152">
        <v>0.13</v>
      </c>
      <c r="E22" s="362"/>
    </row>
    <row r="23" spans="2:10" ht="15.75" customHeight="1" x14ac:dyDescent="0.2">
      <c r="B23" s="359"/>
      <c r="C23" s="360" t="s">
        <v>275</v>
      </c>
      <c r="D23" s="154">
        <v>0.33329999999999999</v>
      </c>
      <c r="E23" s="362"/>
    </row>
    <row r="24" spans="2:10" ht="15.75" customHeight="1" x14ac:dyDescent="0.2">
      <c r="B24" s="359"/>
      <c r="C24" s="360" t="s">
        <v>276</v>
      </c>
      <c r="D24" s="154">
        <v>0.44450000000000001</v>
      </c>
      <c r="E24" s="362"/>
    </row>
    <row r="25" spans="2:10" ht="15.75" customHeight="1" x14ac:dyDescent="0.2">
      <c r="B25" s="359"/>
      <c r="C25" s="360" t="s">
        <v>277</v>
      </c>
      <c r="D25" s="154">
        <v>0.14810000000000001</v>
      </c>
      <c r="E25" s="362"/>
    </row>
    <row r="26" spans="2:10" ht="15.75" customHeight="1" x14ac:dyDescent="0.2">
      <c r="B26" s="359"/>
      <c r="C26" s="360" t="s">
        <v>278</v>
      </c>
      <c r="D26" s="154">
        <v>7.4099999999999999E-2</v>
      </c>
      <c r="E26" s="362"/>
    </row>
    <row r="27" spans="2:10" ht="15.75" customHeight="1" thickBot="1" x14ac:dyDescent="0.25">
      <c r="B27" s="364"/>
      <c r="C27" s="365"/>
      <c r="D27" s="366"/>
      <c r="E27" s="367"/>
    </row>
    <row r="28" spans="2:10" ht="15.75" customHeight="1" x14ac:dyDescent="0.2"/>
    <row r="29" spans="2:10" ht="15.75" customHeight="1" x14ac:dyDescent="0.2">
      <c r="C29" s="355" t="s">
        <v>2</v>
      </c>
    </row>
    <row r="30" spans="2:10" ht="15.75" customHeight="1" thickBot="1" x14ac:dyDescent="0.25"/>
    <row r="31" spans="2:10" ht="15.75" customHeight="1" x14ac:dyDescent="0.2">
      <c r="B31" s="368"/>
      <c r="C31" s="369"/>
      <c r="D31" s="369"/>
      <c r="E31" s="369"/>
      <c r="F31" s="369"/>
      <c r="G31" s="369"/>
      <c r="H31" s="369"/>
      <c r="I31" s="370"/>
      <c r="J31" s="371"/>
    </row>
    <row r="32" spans="2:10" ht="15.75" customHeight="1" x14ac:dyDescent="0.2">
      <c r="B32" s="372"/>
      <c r="C32" s="373" t="s">
        <v>28</v>
      </c>
      <c r="D32" s="374"/>
      <c r="E32" s="374"/>
      <c r="F32" s="374"/>
      <c r="G32" s="374"/>
      <c r="H32" s="374"/>
      <c r="I32" s="375"/>
      <c r="J32" s="371"/>
    </row>
    <row r="33" spans="2:10" ht="15.75" customHeight="1" x14ac:dyDescent="0.2">
      <c r="B33" s="372"/>
      <c r="C33" s="376" t="s">
        <v>279</v>
      </c>
      <c r="D33" s="377">
        <f>D19</f>
        <v>280000</v>
      </c>
      <c r="E33" s="374"/>
      <c r="F33" s="374"/>
      <c r="G33" s="374"/>
      <c r="H33" s="374"/>
      <c r="I33" s="375"/>
      <c r="J33" s="371"/>
    </row>
    <row r="34" spans="2:10" ht="15.75" customHeight="1" x14ac:dyDescent="0.2">
      <c r="B34" s="372"/>
      <c r="C34" s="376" t="s">
        <v>79</v>
      </c>
      <c r="D34" s="378">
        <f>D19*-D21</f>
        <v>-106400</v>
      </c>
      <c r="E34" s="374"/>
      <c r="F34" s="374"/>
      <c r="G34" s="374"/>
      <c r="H34" s="374"/>
      <c r="I34" s="375"/>
      <c r="J34" s="371"/>
    </row>
    <row r="35" spans="2:10" ht="15.75" customHeight="1" x14ac:dyDescent="0.2">
      <c r="B35" s="372"/>
      <c r="C35" s="376" t="s">
        <v>200</v>
      </c>
      <c r="D35" s="377">
        <f>D33+D34</f>
        <v>173600</v>
      </c>
      <c r="E35" s="374"/>
      <c r="F35" s="374"/>
      <c r="G35" s="374"/>
      <c r="H35" s="374"/>
      <c r="I35" s="375"/>
      <c r="J35" s="371"/>
    </row>
    <row r="36" spans="2:10" ht="15.75" customHeight="1" x14ac:dyDescent="0.2">
      <c r="B36" s="372"/>
      <c r="C36" s="374"/>
      <c r="D36" s="374"/>
      <c r="E36" s="374"/>
      <c r="F36" s="374"/>
      <c r="G36" s="374"/>
      <c r="H36" s="374"/>
      <c r="I36" s="375"/>
      <c r="J36" s="371"/>
    </row>
    <row r="37" spans="2:10" ht="15.75" customHeight="1" x14ac:dyDescent="0.2">
      <c r="B37" s="372"/>
      <c r="C37" s="373"/>
      <c r="D37" s="379" t="s">
        <v>180</v>
      </c>
      <c r="E37" s="379" t="s">
        <v>181</v>
      </c>
      <c r="F37" s="379" t="s">
        <v>182</v>
      </c>
      <c r="G37" s="379" t="s">
        <v>183</v>
      </c>
      <c r="H37" s="379" t="s">
        <v>184</v>
      </c>
      <c r="I37" s="375"/>
      <c r="J37" s="371"/>
    </row>
    <row r="38" spans="2:10" ht="15.75" customHeight="1" x14ac:dyDescent="0.2">
      <c r="B38" s="372"/>
      <c r="C38" s="376" t="s">
        <v>254</v>
      </c>
      <c r="D38" s="376"/>
      <c r="E38" s="377">
        <f>D11*D15</f>
        <v>1917500</v>
      </c>
      <c r="F38" s="377">
        <f>D12*D15</f>
        <v>2094500</v>
      </c>
      <c r="G38" s="377">
        <f>D13*D15</f>
        <v>2625500</v>
      </c>
      <c r="H38" s="377">
        <f>D14*D15</f>
        <v>1711000</v>
      </c>
      <c r="I38" s="375"/>
      <c r="J38" s="371"/>
    </row>
    <row r="39" spans="2:10" ht="15.75" customHeight="1" x14ac:dyDescent="0.2">
      <c r="B39" s="372"/>
      <c r="C39" s="376" t="s">
        <v>81</v>
      </c>
      <c r="D39" s="376"/>
      <c r="E39" s="380">
        <f>D16</f>
        <v>330000</v>
      </c>
      <c r="F39" s="380">
        <f>D16</f>
        <v>330000</v>
      </c>
      <c r="G39" s="380">
        <f>D16</f>
        <v>330000</v>
      </c>
      <c r="H39" s="380">
        <f>D16</f>
        <v>330000</v>
      </c>
      <c r="I39" s="375"/>
      <c r="J39" s="371"/>
    </row>
    <row r="40" spans="2:10" ht="15.75" customHeight="1" x14ac:dyDescent="0.2">
      <c r="B40" s="372"/>
      <c r="C40" s="376" t="s">
        <v>80</v>
      </c>
      <c r="D40" s="376"/>
      <c r="E40" s="380">
        <f>E38*D17</f>
        <v>287625</v>
      </c>
      <c r="F40" s="380">
        <f>F38*D17</f>
        <v>314175</v>
      </c>
      <c r="G40" s="380">
        <f>G38*D17</f>
        <v>393825</v>
      </c>
      <c r="H40" s="380">
        <f>H38*D17</f>
        <v>256650</v>
      </c>
      <c r="I40" s="375"/>
      <c r="J40" s="371"/>
    </row>
    <row r="41" spans="2:10" ht="15.75" customHeight="1" x14ac:dyDescent="0.2">
      <c r="B41" s="372"/>
      <c r="C41" s="376" t="s">
        <v>5</v>
      </c>
      <c r="D41" s="376"/>
      <c r="E41" s="378">
        <f>D18*D23</f>
        <v>1033230</v>
      </c>
      <c r="F41" s="378">
        <f>D18*D24</f>
        <v>1377950</v>
      </c>
      <c r="G41" s="378">
        <f>D18*D25</f>
        <v>459110.00000000006</v>
      </c>
      <c r="H41" s="378">
        <f>D18*D26</f>
        <v>229710</v>
      </c>
      <c r="I41" s="375"/>
      <c r="J41" s="371"/>
    </row>
    <row r="42" spans="2:10" ht="15.75" customHeight="1" x14ac:dyDescent="0.2">
      <c r="B42" s="372"/>
      <c r="C42" s="374" t="s">
        <v>8</v>
      </c>
      <c r="D42" s="374"/>
      <c r="E42" s="377">
        <f>E38-E39-E40-E41</f>
        <v>266645</v>
      </c>
      <c r="F42" s="377">
        <f>F38-F39-F40-F41</f>
        <v>72375</v>
      </c>
      <c r="G42" s="377">
        <f>G38-G39-G40-G41</f>
        <v>1442565</v>
      </c>
      <c r="H42" s="377">
        <f>H38-H39-H40-H41</f>
        <v>894640</v>
      </c>
      <c r="I42" s="375"/>
      <c r="J42" s="371"/>
    </row>
    <row r="43" spans="2:10" ht="15.75" customHeight="1" x14ac:dyDescent="0.2">
      <c r="B43" s="372"/>
      <c r="C43" s="376" t="s">
        <v>79</v>
      </c>
      <c r="D43" s="376"/>
      <c r="E43" s="380">
        <f>E42*$D$21</f>
        <v>101325.1</v>
      </c>
      <c r="F43" s="380">
        <f>F42*$D$21</f>
        <v>27502.5</v>
      </c>
      <c r="G43" s="380">
        <f>G42*$D$21</f>
        <v>548174.69999999995</v>
      </c>
      <c r="H43" s="380">
        <f>H42*$D$21</f>
        <v>339963.2</v>
      </c>
      <c r="I43" s="375"/>
      <c r="J43" s="371"/>
    </row>
    <row r="44" spans="2:10" ht="15.75" customHeight="1" thickBot="1" x14ac:dyDescent="0.25">
      <c r="B44" s="372"/>
      <c r="C44" s="376" t="s">
        <v>115</v>
      </c>
      <c r="D44" s="376"/>
      <c r="E44" s="381">
        <f>E42-E43</f>
        <v>165319.9</v>
      </c>
      <c r="F44" s="381">
        <f>F42-F43</f>
        <v>44872.5</v>
      </c>
      <c r="G44" s="381">
        <f>G42-G43</f>
        <v>894390.3</v>
      </c>
      <c r="H44" s="381">
        <f>H42-H43</f>
        <v>554676.80000000005</v>
      </c>
      <c r="I44" s="375"/>
      <c r="J44" s="371"/>
    </row>
    <row r="45" spans="2:10" ht="15.75" customHeight="1" thickTop="1" x14ac:dyDescent="0.2">
      <c r="B45" s="372"/>
      <c r="C45" s="376" t="s">
        <v>11</v>
      </c>
      <c r="D45" s="376"/>
      <c r="E45" s="377">
        <f>E44+E41</f>
        <v>1198549.8999999999</v>
      </c>
      <c r="F45" s="377">
        <f>F44+F41</f>
        <v>1422822.5</v>
      </c>
      <c r="G45" s="377">
        <f>G44+G41</f>
        <v>1353500.3</v>
      </c>
      <c r="H45" s="377">
        <f>H44+H41</f>
        <v>784386.8</v>
      </c>
      <c r="I45" s="375"/>
      <c r="J45" s="371"/>
    </row>
    <row r="46" spans="2:10" ht="15.75" customHeight="1" x14ac:dyDescent="0.2">
      <c r="B46" s="372"/>
      <c r="C46" s="376"/>
      <c r="D46" s="376"/>
      <c r="E46" s="376"/>
      <c r="F46" s="376"/>
      <c r="G46" s="376"/>
      <c r="H46" s="376"/>
      <c r="I46" s="375"/>
      <c r="J46" s="371"/>
    </row>
    <row r="47" spans="2:10" ht="15.75" customHeight="1" x14ac:dyDescent="0.2">
      <c r="B47" s="372"/>
      <c r="C47" s="376" t="s">
        <v>119</v>
      </c>
      <c r="D47" s="377">
        <f>-D18</f>
        <v>-3100000</v>
      </c>
      <c r="E47" s="376"/>
      <c r="F47" s="376"/>
      <c r="G47" s="376"/>
      <c r="H47" s="380">
        <f>D35</f>
        <v>173600</v>
      </c>
      <c r="I47" s="375"/>
      <c r="J47" s="371"/>
    </row>
    <row r="48" spans="2:10" ht="15.75" customHeight="1" x14ac:dyDescent="0.2">
      <c r="B48" s="372"/>
      <c r="C48" s="376" t="s">
        <v>416</v>
      </c>
      <c r="D48" s="380">
        <f>-D8</f>
        <v>-900000</v>
      </c>
      <c r="E48" s="382"/>
      <c r="F48" s="382"/>
      <c r="G48" s="382"/>
      <c r="H48" s="380">
        <f>D9</f>
        <v>1200000</v>
      </c>
      <c r="I48" s="375"/>
      <c r="J48" s="371"/>
    </row>
    <row r="49" spans="2:10" ht="15.75" customHeight="1" x14ac:dyDescent="0.2">
      <c r="B49" s="372"/>
      <c r="C49" s="376" t="s">
        <v>91</v>
      </c>
      <c r="D49" s="378">
        <f>-D20</f>
        <v>-120000</v>
      </c>
      <c r="E49" s="383"/>
      <c r="F49" s="383"/>
      <c r="G49" s="383"/>
      <c r="H49" s="378">
        <f>D20</f>
        <v>120000</v>
      </c>
      <c r="I49" s="375"/>
      <c r="J49" s="371"/>
    </row>
    <row r="50" spans="2:10" ht="15.75" customHeight="1" x14ac:dyDescent="0.2">
      <c r="B50" s="372"/>
      <c r="C50" s="376"/>
      <c r="D50" s="376"/>
      <c r="E50" s="376"/>
      <c r="F50" s="376"/>
      <c r="G50" s="376"/>
      <c r="H50" s="376"/>
      <c r="I50" s="375"/>
      <c r="J50" s="371"/>
    </row>
    <row r="51" spans="2:10" ht="15.75" customHeight="1" x14ac:dyDescent="0.2">
      <c r="B51" s="372"/>
      <c r="C51" s="376" t="s">
        <v>120</v>
      </c>
      <c r="D51" s="384">
        <f>D47+D48+D49+D45</f>
        <v>-4120000</v>
      </c>
      <c r="E51" s="384">
        <f>E47+E49+E45</f>
        <v>1198549.8999999999</v>
      </c>
      <c r="F51" s="384">
        <f>F47+F49+F45</f>
        <v>1422822.5</v>
      </c>
      <c r="G51" s="384">
        <f>G47+G49+G45</f>
        <v>1353500.3</v>
      </c>
      <c r="H51" s="384">
        <f>H47+H48+H49+H45</f>
        <v>2277986.7999999998</v>
      </c>
      <c r="I51" s="375"/>
      <c r="J51" s="371"/>
    </row>
    <row r="52" spans="2:10" ht="15.75" customHeight="1" x14ac:dyDescent="0.2">
      <c r="B52" s="372"/>
      <c r="C52" s="374"/>
      <c r="D52" s="374"/>
      <c r="E52" s="374"/>
      <c r="F52" s="374"/>
      <c r="G52" s="374"/>
      <c r="H52" s="374"/>
      <c r="I52" s="375"/>
      <c r="J52" s="371"/>
    </row>
    <row r="53" spans="2:10" ht="15.75" customHeight="1" x14ac:dyDescent="0.25">
      <c r="B53" s="372"/>
      <c r="C53" s="376" t="s">
        <v>21</v>
      </c>
      <c r="D53" s="385">
        <f>NPV(D22,E51:H51)+D51</f>
        <v>390117.91862752195</v>
      </c>
      <c r="E53" s="373"/>
      <c r="F53" s="373"/>
      <c r="G53" s="373"/>
      <c r="H53" s="373"/>
      <c r="I53" s="375"/>
      <c r="J53" s="371"/>
    </row>
    <row r="54" spans="2:10" ht="15.75" customHeight="1" thickBot="1" x14ac:dyDescent="0.25">
      <c r="B54" s="386"/>
      <c r="C54" s="387"/>
      <c r="D54" s="387"/>
      <c r="E54" s="387"/>
      <c r="F54" s="387"/>
      <c r="G54" s="387"/>
      <c r="H54" s="387"/>
      <c r="I54" s="388"/>
      <c r="J54" s="371"/>
    </row>
    <row r="55" spans="2:10" ht="15.75" customHeight="1" x14ac:dyDescent="0.2">
      <c r="B55" s="389"/>
      <c r="C55" s="389"/>
      <c r="D55" s="389"/>
      <c r="E55" s="389"/>
      <c r="F55" s="389"/>
      <c r="G55" s="389"/>
      <c r="H55" s="389"/>
    </row>
    <row r="56" spans="2:10" ht="15.75" customHeight="1" x14ac:dyDescent="0.2"/>
    <row r="57" spans="2:10" ht="15.75" customHeight="1" x14ac:dyDescent="0.2">
      <c r="D57" s="390"/>
    </row>
    <row r="58" spans="2:10" ht="15.75" customHeight="1" x14ac:dyDescent="0.2"/>
    <row r="59" spans="2:10" ht="15.75" customHeight="1" x14ac:dyDescent="0.2"/>
    <row r="60" spans="2:10" ht="15.75" customHeight="1" x14ac:dyDescent="0.2"/>
    <row r="61" spans="2:10" ht="15.75" customHeight="1" x14ac:dyDescent="0.2"/>
    <row r="62" spans="2:10" ht="15.75" customHeight="1" x14ac:dyDescent="0.2"/>
    <row r="63" spans="2:10" ht="15.75" customHeight="1" x14ac:dyDescent="0.2"/>
    <row r="64" spans="2:10" ht="15.75" customHeight="1" x14ac:dyDescent="0.2"/>
    <row r="65" ht="15.75" customHeight="1" x14ac:dyDescent="0.2"/>
  </sheetData>
  <pageMargins left="0.75" right="0.75" top="1" bottom="1" header="0.5" footer="0.5"/>
  <pageSetup scale="71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6" bestFit="1" customWidth="1"/>
    <col min="4" max="4" width="21.5703125" bestFit="1" customWidth="1"/>
    <col min="5" max="5" width="3.140625" customWidth="1"/>
    <col min="6" max="6" width="19.7109375" customWidth="1"/>
    <col min="7" max="7" width="3.140625" customWidth="1"/>
    <col min="8" max="8" width="19.7109375" customWidth="1"/>
    <col min="9" max="9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123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273" t="s">
        <v>280</v>
      </c>
      <c r="D7" s="84"/>
      <c r="E7" s="9"/>
    </row>
    <row r="8" spans="2:5" ht="15.75" customHeight="1" x14ac:dyDescent="0.2">
      <c r="B8" s="8"/>
      <c r="C8" s="13" t="s">
        <v>281</v>
      </c>
      <c r="D8" s="264">
        <v>2800000</v>
      </c>
      <c r="E8" s="9"/>
    </row>
    <row r="9" spans="2:5" ht="15.75" customHeight="1" x14ac:dyDescent="0.2">
      <c r="B9" s="8"/>
      <c r="C9" s="13" t="s">
        <v>282</v>
      </c>
      <c r="D9" s="264">
        <v>1600000</v>
      </c>
      <c r="E9" s="9"/>
    </row>
    <row r="10" spans="2:5" ht="15.75" customHeight="1" x14ac:dyDescent="0.2">
      <c r="B10" s="8"/>
      <c r="C10" s="13" t="s">
        <v>283</v>
      </c>
      <c r="D10" s="84">
        <v>855000</v>
      </c>
      <c r="E10" s="9"/>
    </row>
    <row r="11" spans="2:5" ht="15.75" customHeight="1" x14ac:dyDescent="0.2">
      <c r="B11" s="8"/>
      <c r="C11" s="13" t="s">
        <v>5</v>
      </c>
      <c r="D11" s="391">
        <f>D9/5</f>
        <v>320000</v>
      </c>
      <c r="E11" s="9"/>
    </row>
    <row r="12" spans="2:5" ht="15.75" customHeight="1" x14ac:dyDescent="0.2">
      <c r="B12" s="8"/>
      <c r="C12" s="13" t="s">
        <v>284</v>
      </c>
      <c r="D12" s="264">
        <v>140000</v>
      </c>
      <c r="E12" s="9"/>
    </row>
    <row r="13" spans="2:5" ht="15.75" customHeight="1" x14ac:dyDescent="0.2">
      <c r="B13" s="8"/>
      <c r="C13" s="13" t="s">
        <v>285</v>
      </c>
      <c r="D13" s="264">
        <v>0</v>
      </c>
      <c r="E13" s="9"/>
    </row>
    <row r="14" spans="2:5" ht="15.75" customHeight="1" x14ac:dyDescent="0.2">
      <c r="B14" s="8"/>
      <c r="C14" s="13"/>
      <c r="D14" s="264"/>
      <c r="E14" s="9"/>
    </row>
    <row r="15" spans="2:5" ht="15.75" customHeight="1" x14ac:dyDescent="0.2">
      <c r="B15" s="8"/>
      <c r="C15" s="273" t="s">
        <v>286</v>
      </c>
      <c r="D15" s="264"/>
      <c r="E15" s="9"/>
    </row>
    <row r="16" spans="2:5" ht="15.75" customHeight="1" x14ac:dyDescent="0.2">
      <c r="B16" s="8"/>
      <c r="C16" s="13" t="s">
        <v>46</v>
      </c>
      <c r="D16" s="264">
        <v>4500000</v>
      </c>
      <c r="E16" s="9"/>
    </row>
    <row r="17" spans="2:10" ht="15.75" customHeight="1" x14ac:dyDescent="0.2">
      <c r="B17" s="8"/>
      <c r="C17" s="13" t="s">
        <v>283</v>
      </c>
      <c r="D17" s="264">
        <v>350000</v>
      </c>
      <c r="E17" s="9"/>
    </row>
    <row r="18" spans="2:10" ht="15.75" customHeight="1" x14ac:dyDescent="0.2">
      <c r="B18" s="8"/>
      <c r="C18" s="13" t="s">
        <v>33</v>
      </c>
      <c r="D18" s="264">
        <v>900000</v>
      </c>
      <c r="E18" s="9"/>
    </row>
    <row r="19" spans="2:10" ht="15.75" customHeight="1" x14ac:dyDescent="0.2">
      <c r="B19" s="8"/>
      <c r="C19" s="13"/>
      <c r="D19" s="264"/>
      <c r="E19" s="9"/>
    </row>
    <row r="20" spans="2:10" ht="15.75" customHeight="1" x14ac:dyDescent="0.2">
      <c r="B20" s="8"/>
      <c r="C20" s="13" t="s">
        <v>287</v>
      </c>
      <c r="D20" s="264"/>
      <c r="E20" s="9"/>
    </row>
    <row r="21" spans="2:10" ht="15.75" customHeight="1" x14ac:dyDescent="0.2">
      <c r="B21" s="8"/>
      <c r="C21" s="13" t="s">
        <v>288</v>
      </c>
      <c r="D21" s="264">
        <v>3400000</v>
      </c>
      <c r="E21" s="9"/>
    </row>
    <row r="22" spans="2:10" ht="15.75" customHeight="1" x14ac:dyDescent="0.2">
      <c r="B22" s="8"/>
      <c r="C22" s="13"/>
      <c r="D22" s="264"/>
      <c r="E22" s="9"/>
    </row>
    <row r="23" spans="2:10" ht="15.75" customHeight="1" x14ac:dyDescent="0.2">
      <c r="B23" s="8"/>
      <c r="C23" s="13" t="s">
        <v>6</v>
      </c>
      <c r="D23" s="152">
        <v>0.4</v>
      </c>
      <c r="E23" s="9"/>
    </row>
    <row r="24" spans="2:10" ht="15.75" customHeight="1" x14ac:dyDescent="0.2">
      <c r="B24" s="8"/>
      <c r="C24" s="13" t="s">
        <v>20</v>
      </c>
      <c r="D24" s="152">
        <v>0.08</v>
      </c>
      <c r="E24" s="9"/>
    </row>
    <row r="25" spans="2:10" ht="15.75" customHeight="1" thickBot="1" x14ac:dyDescent="0.25">
      <c r="B25" s="10"/>
      <c r="C25" s="28"/>
      <c r="D25" s="61"/>
      <c r="E25" s="12"/>
    </row>
    <row r="26" spans="2:10" ht="15.75" customHeight="1" x14ac:dyDescent="0.2"/>
    <row r="27" spans="2:10" ht="15.75" customHeight="1" x14ac:dyDescent="0.2">
      <c r="C27" s="2" t="s">
        <v>2</v>
      </c>
    </row>
    <row r="28" spans="2:10" ht="15.75" customHeight="1" thickBot="1" x14ac:dyDescent="0.25"/>
    <row r="29" spans="2:10" ht="15.75" customHeight="1" x14ac:dyDescent="0.2">
      <c r="B29" s="15"/>
      <c r="C29" s="16"/>
      <c r="D29" s="16"/>
      <c r="E29" s="16"/>
      <c r="F29" s="16"/>
      <c r="G29" s="16"/>
      <c r="H29" s="16"/>
      <c r="I29" s="17"/>
      <c r="J29" s="30"/>
    </row>
    <row r="30" spans="2:10" ht="15.75" customHeight="1" x14ac:dyDescent="0.2">
      <c r="B30" s="18"/>
      <c r="C30" s="265"/>
      <c r="D30" s="265" t="s">
        <v>292</v>
      </c>
      <c r="E30" s="20"/>
      <c r="F30" s="265" t="s">
        <v>293</v>
      </c>
      <c r="G30" s="265"/>
      <c r="H30" s="265" t="s">
        <v>428</v>
      </c>
      <c r="I30" s="21"/>
      <c r="J30" s="30"/>
    </row>
    <row r="31" spans="2:10" ht="15.75" customHeight="1" x14ac:dyDescent="0.2">
      <c r="B31" s="18"/>
      <c r="C31" s="265"/>
      <c r="D31" s="20"/>
      <c r="E31" s="20"/>
      <c r="F31" s="20"/>
      <c r="G31" s="20"/>
      <c r="H31" s="20"/>
      <c r="I31" s="21"/>
      <c r="J31" s="30"/>
    </row>
    <row r="32" spans="2:10" ht="15.75" customHeight="1" x14ac:dyDescent="0.2">
      <c r="B32" s="18"/>
      <c r="C32" s="265" t="s">
        <v>92</v>
      </c>
      <c r="D32" s="20"/>
      <c r="E32" s="20"/>
      <c r="F32" s="20"/>
      <c r="G32" s="20"/>
      <c r="H32" s="20"/>
      <c r="I32" s="21"/>
      <c r="J32" s="30"/>
    </row>
    <row r="33" spans="2:10" ht="15.75" customHeight="1" x14ac:dyDescent="0.2">
      <c r="B33" s="18"/>
      <c r="C33" s="19" t="s">
        <v>289</v>
      </c>
      <c r="D33" s="79">
        <f>-D16</f>
        <v>-4500000</v>
      </c>
      <c r="E33" s="20"/>
      <c r="F33" s="79">
        <v>0</v>
      </c>
      <c r="G33" s="79"/>
      <c r="H33" s="79">
        <f>-D16</f>
        <v>-4500000</v>
      </c>
      <c r="I33" s="21"/>
      <c r="J33" s="30"/>
    </row>
    <row r="34" spans="2:10" ht="15.75" customHeight="1" x14ac:dyDescent="0.2">
      <c r="B34" s="18"/>
      <c r="C34" s="19" t="s">
        <v>429</v>
      </c>
      <c r="D34" s="80">
        <v>0</v>
      </c>
      <c r="E34" s="20"/>
      <c r="F34" s="80">
        <f>-D8</f>
        <v>-2800000</v>
      </c>
      <c r="G34" s="80"/>
      <c r="H34" s="80">
        <f>-F34</f>
        <v>2800000</v>
      </c>
      <c r="I34" s="21"/>
      <c r="J34" s="30"/>
    </row>
    <row r="35" spans="2:10" ht="15.75" customHeight="1" x14ac:dyDescent="0.2">
      <c r="B35" s="18"/>
      <c r="C35" s="19" t="s">
        <v>290</v>
      </c>
      <c r="D35" s="82">
        <v>0</v>
      </c>
      <c r="E35" s="20"/>
      <c r="F35" s="82">
        <f>-(D9-D8)*D23</f>
        <v>480000</v>
      </c>
      <c r="G35" s="80"/>
      <c r="H35" s="82">
        <f>-F35</f>
        <v>-480000</v>
      </c>
      <c r="I35" s="21"/>
      <c r="J35" s="30"/>
    </row>
    <row r="36" spans="2:10" ht="15.75" customHeight="1" x14ac:dyDescent="0.2">
      <c r="B36" s="18"/>
      <c r="C36" s="19" t="s">
        <v>200</v>
      </c>
      <c r="D36" s="79">
        <f>SUM(D33:D35)</f>
        <v>-4500000</v>
      </c>
      <c r="E36" s="20"/>
      <c r="F36" s="79">
        <f>SUM(F33:F35)</f>
        <v>-2320000</v>
      </c>
      <c r="G36" s="79"/>
      <c r="H36" s="79">
        <f>SUM(H33:H35)</f>
        <v>-2180000</v>
      </c>
      <c r="I36" s="21"/>
      <c r="J36" s="30"/>
    </row>
    <row r="37" spans="2:10" ht="15.75" customHeight="1" x14ac:dyDescent="0.25">
      <c r="B37" s="18"/>
      <c r="C37" s="20"/>
      <c r="D37" s="20"/>
      <c r="E37" s="20"/>
      <c r="F37" s="20"/>
      <c r="G37" s="20"/>
      <c r="H37" s="87"/>
      <c r="I37" s="21"/>
      <c r="J37" s="30"/>
    </row>
    <row r="38" spans="2:10" ht="15.75" customHeight="1" x14ac:dyDescent="0.2">
      <c r="B38" s="18"/>
      <c r="C38" s="19" t="s">
        <v>235</v>
      </c>
      <c r="D38" s="79">
        <f>D17</f>
        <v>350000</v>
      </c>
      <c r="E38" s="80"/>
      <c r="F38" s="79">
        <f>D10</f>
        <v>855000</v>
      </c>
      <c r="G38" s="79"/>
      <c r="H38" s="79">
        <f>D38-F38</f>
        <v>-505000</v>
      </c>
      <c r="I38" s="21"/>
      <c r="J38" s="30"/>
    </row>
    <row r="39" spans="2:10" ht="15.75" customHeight="1" x14ac:dyDescent="0.2">
      <c r="B39" s="18"/>
      <c r="C39" s="19" t="s">
        <v>5</v>
      </c>
      <c r="D39" s="82">
        <f>D16/5</f>
        <v>900000</v>
      </c>
      <c r="E39" s="80"/>
      <c r="F39" s="82">
        <f>D11</f>
        <v>320000</v>
      </c>
      <c r="G39" s="80"/>
      <c r="H39" s="82">
        <f>D39-F39</f>
        <v>580000</v>
      </c>
      <c r="I39" s="21"/>
      <c r="J39" s="30"/>
    </row>
    <row r="40" spans="2:10" ht="15.75" customHeight="1" x14ac:dyDescent="0.2">
      <c r="B40" s="18"/>
      <c r="C40" s="20" t="s">
        <v>8</v>
      </c>
      <c r="D40" s="79">
        <f>-D38-D39</f>
        <v>-1250000</v>
      </c>
      <c r="E40" s="79"/>
      <c r="F40" s="79">
        <f>-F38-F39</f>
        <v>-1175000</v>
      </c>
      <c r="G40" s="79"/>
      <c r="H40" s="183">
        <f>-H38-H39</f>
        <v>-75000</v>
      </c>
      <c r="I40" s="21"/>
      <c r="J40" s="30"/>
    </row>
    <row r="41" spans="2:10" ht="15.75" customHeight="1" x14ac:dyDescent="0.2">
      <c r="B41" s="18"/>
      <c r="C41" s="19" t="s">
        <v>79</v>
      </c>
      <c r="D41" s="80">
        <f>D40*D23</f>
        <v>-500000</v>
      </c>
      <c r="E41" s="80"/>
      <c r="F41" s="80">
        <f>F40*D23</f>
        <v>-470000</v>
      </c>
      <c r="G41" s="80"/>
      <c r="H41" s="286">
        <f>H40*D23</f>
        <v>-30000</v>
      </c>
      <c r="I41" s="21"/>
      <c r="J41" s="30"/>
    </row>
    <row r="42" spans="2:10" ht="15.75" customHeight="1" thickBot="1" x14ac:dyDescent="0.25">
      <c r="B42" s="18"/>
      <c r="C42" s="19" t="s">
        <v>115</v>
      </c>
      <c r="D42" s="126">
        <f>D40-D41</f>
        <v>-750000</v>
      </c>
      <c r="E42" s="79"/>
      <c r="F42" s="126">
        <f>F40-F41</f>
        <v>-705000</v>
      </c>
      <c r="G42" s="79"/>
      <c r="H42" s="285">
        <f>H40-H41</f>
        <v>-45000</v>
      </c>
      <c r="I42" s="21"/>
      <c r="J42" s="30"/>
    </row>
    <row r="43" spans="2:10" ht="15.75" customHeight="1" thickTop="1" x14ac:dyDescent="0.2">
      <c r="B43" s="18"/>
      <c r="C43" s="19" t="s">
        <v>11</v>
      </c>
      <c r="D43" s="79">
        <f>D42+D39</f>
        <v>150000</v>
      </c>
      <c r="E43" s="79"/>
      <c r="F43" s="79">
        <f>F42+F39</f>
        <v>-385000</v>
      </c>
      <c r="G43" s="79"/>
      <c r="H43" s="183">
        <f>H42+H39</f>
        <v>535000</v>
      </c>
      <c r="I43" s="21"/>
      <c r="J43" s="30"/>
    </row>
    <row r="44" spans="2:10" ht="15.75" customHeight="1" x14ac:dyDescent="0.2">
      <c r="B44" s="18"/>
      <c r="C44" s="19"/>
      <c r="D44" s="79"/>
      <c r="E44" s="79"/>
      <c r="F44" s="79"/>
      <c r="G44" s="79"/>
      <c r="H44" s="86"/>
      <c r="I44" s="21"/>
      <c r="J44" s="30"/>
    </row>
    <row r="45" spans="2:10" ht="15.75" customHeight="1" x14ac:dyDescent="0.2">
      <c r="B45" s="18"/>
      <c r="C45" s="265" t="s">
        <v>28</v>
      </c>
      <c r="D45" s="79"/>
      <c r="E45" s="79"/>
      <c r="F45" s="79"/>
      <c r="G45" s="79"/>
      <c r="H45" s="86"/>
      <c r="I45" s="21"/>
      <c r="J45" s="30"/>
    </row>
    <row r="46" spans="2:10" ht="15.75" customHeight="1" x14ac:dyDescent="0.2">
      <c r="B46" s="18"/>
      <c r="C46" s="19" t="s">
        <v>291</v>
      </c>
      <c r="D46" s="79">
        <f>D18</f>
        <v>900000</v>
      </c>
      <c r="E46" s="79"/>
      <c r="F46" s="79">
        <f>D12</f>
        <v>140000</v>
      </c>
      <c r="G46" s="79"/>
      <c r="H46" s="183">
        <f>D46</f>
        <v>900000</v>
      </c>
      <c r="I46" s="21"/>
      <c r="J46" s="30"/>
    </row>
    <row r="47" spans="2:10" ht="15.75" customHeight="1" x14ac:dyDescent="0.2">
      <c r="B47" s="18"/>
      <c r="C47" s="19" t="s">
        <v>79</v>
      </c>
      <c r="D47" s="80">
        <f>-D18*D23</f>
        <v>-360000</v>
      </c>
      <c r="E47" s="79"/>
      <c r="F47" s="79">
        <f>(D13-D12)*D23</f>
        <v>-56000</v>
      </c>
      <c r="G47" s="79"/>
      <c r="H47" s="80">
        <f>D47</f>
        <v>-360000</v>
      </c>
      <c r="I47" s="21"/>
      <c r="J47" s="30"/>
    </row>
    <row r="48" spans="2:10" ht="15.75" customHeight="1" x14ac:dyDescent="0.2">
      <c r="B48" s="18"/>
      <c r="C48" s="19" t="s">
        <v>296</v>
      </c>
      <c r="D48" s="80">
        <v>0</v>
      </c>
      <c r="E48" s="79"/>
      <c r="F48" s="79">
        <v>0</v>
      </c>
      <c r="G48" s="79"/>
      <c r="H48" s="80">
        <f>-F46</f>
        <v>-140000</v>
      </c>
      <c r="I48" s="21"/>
      <c r="J48" s="30"/>
    </row>
    <row r="49" spans="2:10" ht="15.75" customHeight="1" x14ac:dyDescent="0.2">
      <c r="B49" s="18"/>
      <c r="C49" s="19" t="s">
        <v>297</v>
      </c>
      <c r="D49" s="82">
        <v>0</v>
      </c>
      <c r="E49" s="79"/>
      <c r="F49" s="184">
        <v>0</v>
      </c>
      <c r="G49" s="20"/>
      <c r="H49" s="82">
        <f>-F47</f>
        <v>56000</v>
      </c>
      <c r="I49" s="21"/>
      <c r="J49" s="30"/>
    </row>
    <row r="50" spans="2:10" ht="15.75" customHeight="1" x14ac:dyDescent="0.25">
      <c r="B50" s="18"/>
      <c r="C50" s="19" t="s">
        <v>200</v>
      </c>
      <c r="D50" s="79">
        <f>SUM(D46:D47)</f>
        <v>540000</v>
      </c>
      <c r="E50" s="79"/>
      <c r="F50" s="79">
        <f>SUM(F46:F47)</f>
        <v>84000</v>
      </c>
      <c r="G50" s="87"/>
      <c r="H50" s="183">
        <f>SUM(H46:H49)</f>
        <v>456000</v>
      </c>
      <c r="I50" s="21"/>
      <c r="J50" s="30"/>
    </row>
    <row r="51" spans="2:10" ht="15.75" customHeight="1" x14ac:dyDescent="0.25">
      <c r="B51" s="18"/>
      <c r="C51" s="20"/>
      <c r="D51" s="20"/>
      <c r="E51" s="20"/>
      <c r="F51" s="20"/>
      <c r="G51" s="265"/>
      <c r="H51" s="87"/>
      <c r="I51" s="21"/>
      <c r="J51" s="30"/>
    </row>
    <row r="52" spans="2:10" ht="15.75" customHeight="1" x14ac:dyDescent="0.25">
      <c r="B52" s="18"/>
      <c r="C52" s="19" t="s">
        <v>21</v>
      </c>
      <c r="D52" s="130">
        <f>PV(D24,5,-D43,-D50)+D36</f>
        <v>-3533578.5680400603</v>
      </c>
      <c r="E52" s="265"/>
      <c r="F52" s="130">
        <f>PV(D24,5,-F43,-F50)+F36</f>
        <v>-3800024.3757242286</v>
      </c>
      <c r="G52" s="265"/>
      <c r="H52" s="130">
        <f>PV(D24,5,-H43,-H50)+H36</f>
        <v>266445.80768416822</v>
      </c>
      <c r="I52" s="21"/>
      <c r="J52" s="30"/>
    </row>
    <row r="53" spans="2:10" ht="15.75" customHeight="1" x14ac:dyDescent="0.25">
      <c r="B53" s="18"/>
      <c r="C53" s="19"/>
      <c r="D53" s="87"/>
      <c r="E53" s="265"/>
      <c r="F53" s="265"/>
      <c r="G53" s="265"/>
      <c r="H53" s="265"/>
      <c r="I53" s="21"/>
      <c r="J53" s="30"/>
    </row>
    <row r="54" spans="2:10" ht="15.75" customHeight="1" x14ac:dyDescent="0.25">
      <c r="B54" s="18"/>
      <c r="C54" s="19" t="s">
        <v>294</v>
      </c>
      <c r="D54" s="87" t="str">
        <f>IF(F52&gt;D52,"keep the old machine","buy the new machine")</f>
        <v>buy the new machine</v>
      </c>
      <c r="E54" s="265"/>
      <c r="F54" s="265"/>
      <c r="G54" s="265"/>
      <c r="H54" s="265"/>
      <c r="I54" s="21"/>
      <c r="J54" s="30"/>
    </row>
    <row r="55" spans="2:10" ht="15.75" customHeight="1" x14ac:dyDescent="0.25">
      <c r="B55" s="18"/>
      <c r="C55" s="19" t="s">
        <v>295</v>
      </c>
      <c r="D55" s="87"/>
      <c r="E55" s="265"/>
      <c r="F55" s="265"/>
      <c r="G55" s="341"/>
      <c r="H55" s="341"/>
      <c r="I55" s="21"/>
      <c r="J55" s="30"/>
    </row>
    <row r="56" spans="2:10" ht="15.75" customHeight="1" x14ac:dyDescent="0.25">
      <c r="B56" s="18"/>
      <c r="C56" s="19"/>
      <c r="D56" s="87"/>
      <c r="E56" s="265"/>
      <c r="F56" s="265"/>
      <c r="G56" s="265"/>
      <c r="H56" s="265"/>
      <c r="I56" s="21"/>
      <c r="J56" s="30"/>
    </row>
    <row r="57" spans="2:10" ht="15.75" customHeight="1" x14ac:dyDescent="0.25">
      <c r="B57" s="18"/>
      <c r="C57" s="19" t="s">
        <v>298</v>
      </c>
      <c r="D57" s="87"/>
      <c r="E57" s="265"/>
      <c r="F57" s="265"/>
      <c r="G57" s="265"/>
      <c r="H57" s="265"/>
      <c r="I57" s="21"/>
      <c r="J57" s="30"/>
    </row>
    <row r="58" spans="2:10" ht="15.75" customHeight="1" x14ac:dyDescent="0.25">
      <c r="B58" s="18"/>
      <c r="C58" s="19" t="s">
        <v>299</v>
      </c>
      <c r="D58" s="87"/>
      <c r="E58" s="265"/>
      <c r="F58" s="265"/>
      <c r="G58" s="265"/>
      <c r="H58" s="265"/>
      <c r="I58" s="21"/>
      <c r="J58" s="30"/>
    </row>
    <row r="59" spans="2:10" ht="15.75" customHeight="1" x14ac:dyDescent="0.25">
      <c r="B59" s="18"/>
      <c r="C59" s="19" t="s">
        <v>300</v>
      </c>
      <c r="D59" s="87"/>
      <c r="E59" s="265"/>
      <c r="F59" s="265"/>
      <c r="G59" s="265"/>
      <c r="H59" s="265"/>
      <c r="I59" s="21"/>
      <c r="J59" s="30"/>
    </row>
    <row r="60" spans="2:10" ht="15.75" customHeight="1" x14ac:dyDescent="0.25">
      <c r="B60" s="18"/>
      <c r="C60" s="19"/>
      <c r="D60" s="87"/>
      <c r="E60" s="265"/>
      <c r="F60" s="265"/>
      <c r="G60" s="87"/>
      <c r="H60" s="87"/>
      <c r="I60" s="21"/>
      <c r="J60" s="30"/>
    </row>
    <row r="61" spans="2:10" ht="15.75" customHeight="1" x14ac:dyDescent="0.2">
      <c r="B61" s="18"/>
      <c r="C61" s="19" t="s">
        <v>302</v>
      </c>
      <c r="D61" s="287" t="s">
        <v>301</v>
      </c>
      <c r="E61" s="265"/>
      <c r="F61" s="265"/>
      <c r="G61" s="265"/>
      <c r="H61" s="265"/>
      <c r="I61" s="21"/>
      <c r="J61" s="30"/>
    </row>
    <row r="62" spans="2:10" ht="15.75" customHeight="1" x14ac:dyDescent="0.25">
      <c r="B62" s="18"/>
      <c r="C62" s="86">
        <f>D52</f>
        <v>-3533578.5680400603</v>
      </c>
      <c r="D62" s="86">
        <f>F52</f>
        <v>-3800024.3757242286</v>
      </c>
      <c r="E62" s="288" t="s">
        <v>303</v>
      </c>
      <c r="F62" s="130">
        <f>C62-D62</f>
        <v>266445.80768416822</v>
      </c>
      <c r="G62" s="265"/>
      <c r="H62" s="265"/>
      <c r="I62" s="21"/>
      <c r="J62" s="30"/>
    </row>
    <row r="63" spans="2:10" ht="15.75" customHeight="1" x14ac:dyDescent="0.25">
      <c r="B63" s="18"/>
      <c r="C63" s="19"/>
      <c r="D63" s="87"/>
      <c r="E63" s="265"/>
      <c r="F63" s="265"/>
      <c r="G63" s="19"/>
      <c r="H63" s="19"/>
      <c r="I63" s="21"/>
      <c r="J63" s="30"/>
    </row>
    <row r="64" spans="2:10" ht="15.75" customHeight="1" x14ac:dyDescent="0.25">
      <c r="B64" s="344"/>
      <c r="C64" s="19" t="s">
        <v>304</v>
      </c>
      <c r="D64" s="87"/>
      <c r="E64" s="265"/>
      <c r="F64" s="265"/>
      <c r="G64" s="56"/>
      <c r="H64" s="56"/>
      <c r="I64" s="179"/>
    </row>
    <row r="65" spans="2:9" ht="15.75" customHeight="1" thickBot="1" x14ac:dyDescent="0.25">
      <c r="B65" s="345"/>
      <c r="C65" s="53"/>
      <c r="D65" s="53"/>
      <c r="E65" s="53"/>
      <c r="F65" s="53"/>
      <c r="G65" s="346"/>
      <c r="H65" s="346"/>
      <c r="I65" s="199"/>
    </row>
    <row r="66" spans="2:9" ht="15.75" customHeight="1" x14ac:dyDescent="0.2">
      <c r="C66" s="14"/>
      <c r="D66" s="14"/>
      <c r="E66" s="14"/>
      <c r="F66" s="14"/>
    </row>
    <row r="67" spans="2:9" ht="15.75" customHeight="1" x14ac:dyDescent="0.2"/>
    <row r="68" spans="2:9" ht="15.75" customHeight="1" x14ac:dyDescent="0.2">
      <c r="D68" s="26"/>
    </row>
    <row r="69" spans="2:9" ht="15.75" customHeight="1" x14ac:dyDescent="0.2"/>
    <row r="70" spans="2:9" ht="15.75" customHeight="1" x14ac:dyDescent="0.2"/>
    <row r="71" spans="2:9" ht="15.75" customHeight="1" x14ac:dyDescent="0.2"/>
    <row r="72" spans="2:9" ht="15.75" customHeight="1" x14ac:dyDescent="0.2"/>
    <row r="73" spans="2:9" ht="15.75" customHeight="1" x14ac:dyDescent="0.2"/>
    <row r="74" spans="2:9" ht="15.75" customHeight="1" x14ac:dyDescent="0.2"/>
  </sheetData>
  <phoneticPr fontId="0" type="noConversion"/>
  <pageMargins left="0.75" right="0.75" top="1" bottom="1" header="0.5" footer="0.5"/>
  <pageSetup scale="81" orientation="portrait" horizontalDpi="360" verticalDpi="360" r:id="rId1"/>
  <headerFooter alignWithMargins="0"/>
  <rowBreaks count="1" manualBreakCount="1">
    <brk id="52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7" width="18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124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273" t="s">
        <v>305</v>
      </c>
      <c r="D7" s="4"/>
      <c r="E7" s="9"/>
      <c r="G7" s="57"/>
    </row>
    <row r="8" spans="2:7" ht="15.75" customHeight="1" x14ac:dyDescent="0.2">
      <c r="B8" s="8"/>
      <c r="C8" s="13" t="s">
        <v>46</v>
      </c>
      <c r="D8" s="84">
        <v>1499</v>
      </c>
      <c r="E8" s="9"/>
    </row>
    <row r="9" spans="2:7" ht="15.75" customHeight="1" x14ac:dyDescent="0.2">
      <c r="B9" s="8"/>
      <c r="C9" s="13" t="s">
        <v>307</v>
      </c>
      <c r="D9" s="84">
        <v>120</v>
      </c>
      <c r="E9" s="9"/>
    </row>
    <row r="10" spans="2:7" ht="15.75" customHeight="1" x14ac:dyDescent="0.2">
      <c r="B10" s="8"/>
      <c r="C10" s="13" t="s">
        <v>48</v>
      </c>
      <c r="D10" s="281">
        <v>3</v>
      </c>
      <c r="E10" s="9"/>
    </row>
    <row r="11" spans="2:7" ht="15.75" customHeight="1" x14ac:dyDescent="0.2">
      <c r="B11" s="8"/>
      <c r="C11" s="273" t="s">
        <v>306</v>
      </c>
      <c r="D11" s="83"/>
      <c r="E11" s="9"/>
    </row>
    <row r="12" spans="2:7" ht="15.75" customHeight="1" x14ac:dyDescent="0.2">
      <c r="B12" s="8"/>
      <c r="C12" s="13" t="s">
        <v>46</v>
      </c>
      <c r="D12" s="84">
        <v>2399</v>
      </c>
      <c r="E12" s="9"/>
    </row>
    <row r="13" spans="2:7" ht="15.75" customHeight="1" x14ac:dyDescent="0.2">
      <c r="B13" s="8"/>
      <c r="C13" s="13" t="s">
        <v>307</v>
      </c>
      <c r="D13" s="84">
        <v>95</v>
      </c>
      <c r="E13" s="9"/>
    </row>
    <row r="14" spans="2:7" ht="15.75" customHeight="1" x14ac:dyDescent="0.2">
      <c r="B14" s="8"/>
      <c r="C14" s="13" t="s">
        <v>48</v>
      </c>
      <c r="D14" s="90">
        <v>5</v>
      </c>
      <c r="E14" s="9"/>
    </row>
    <row r="15" spans="2:7" ht="15.75" customHeight="1" x14ac:dyDescent="0.2">
      <c r="B15" s="8"/>
      <c r="C15" s="13"/>
      <c r="D15" s="85"/>
      <c r="E15" s="9"/>
    </row>
    <row r="16" spans="2:7" ht="15.75" customHeight="1" x14ac:dyDescent="0.2">
      <c r="B16" s="8"/>
      <c r="C16" s="13" t="s">
        <v>207</v>
      </c>
      <c r="D16" s="152">
        <v>0.03</v>
      </c>
      <c r="E16" s="9"/>
    </row>
    <row r="17" spans="2:8" ht="15.75" customHeight="1" x14ac:dyDescent="0.2">
      <c r="B17" s="8"/>
      <c r="C17" s="13" t="s">
        <v>228</v>
      </c>
      <c r="D17" s="83">
        <v>0.09</v>
      </c>
      <c r="E17" s="9"/>
    </row>
    <row r="18" spans="2:8" ht="15.75" customHeight="1" thickBot="1" x14ac:dyDescent="0.25">
      <c r="B18" s="10"/>
      <c r="C18" s="28"/>
      <c r="D18" s="61"/>
      <c r="E18" s="12"/>
    </row>
    <row r="19" spans="2:8" ht="15.75" customHeight="1" x14ac:dyDescent="0.2"/>
    <row r="20" spans="2:8" ht="15.75" customHeight="1" x14ac:dyDescent="0.2">
      <c r="C20" s="2" t="s">
        <v>2</v>
      </c>
    </row>
    <row r="21" spans="2:8" ht="15.75" customHeight="1" thickBot="1" x14ac:dyDescent="0.25"/>
    <row r="22" spans="2:8" ht="15.75" customHeight="1" x14ac:dyDescent="0.2">
      <c r="B22" s="15"/>
      <c r="C22" s="16"/>
      <c r="D22" s="16"/>
      <c r="E22" s="16"/>
      <c r="F22" s="16"/>
      <c r="G22" s="17"/>
      <c r="H22" s="30"/>
    </row>
    <row r="23" spans="2:8" ht="15.75" customHeight="1" x14ac:dyDescent="0.2">
      <c r="B23" s="18"/>
      <c r="C23" s="19" t="s">
        <v>309</v>
      </c>
      <c r="D23" s="253">
        <f>((1+D17)/(1+D16))-1</f>
        <v>5.8252427184465994E-2</v>
      </c>
      <c r="E23" s="20"/>
      <c r="F23" s="20"/>
      <c r="G23" s="21"/>
      <c r="H23" s="30"/>
    </row>
    <row r="24" spans="2:8" ht="15.75" customHeight="1" x14ac:dyDescent="0.2">
      <c r="B24" s="18"/>
      <c r="C24" s="20"/>
      <c r="D24" s="20"/>
      <c r="E24" s="20"/>
      <c r="F24" s="20"/>
      <c r="G24" s="21"/>
      <c r="H24" s="30"/>
    </row>
    <row r="25" spans="2:8" ht="15.75" customHeight="1" x14ac:dyDescent="0.2">
      <c r="B25" s="18"/>
      <c r="C25" s="265" t="s">
        <v>305</v>
      </c>
      <c r="D25" s="141"/>
      <c r="E25" s="20"/>
      <c r="F25" s="20"/>
      <c r="G25" s="21"/>
      <c r="H25" s="30"/>
    </row>
    <row r="26" spans="2:8" ht="15.75" customHeight="1" x14ac:dyDescent="0.2">
      <c r="B26" s="18"/>
      <c r="C26" s="19" t="s">
        <v>308</v>
      </c>
      <c r="D26" s="141">
        <f>-D8+PV(D23,D10,D9)</f>
        <v>-1820.8013805096257</v>
      </c>
      <c r="E26" s="19"/>
      <c r="F26" s="20"/>
      <c r="G26" s="21"/>
      <c r="H26" s="31"/>
    </row>
    <row r="27" spans="2:8" ht="15.75" customHeight="1" x14ac:dyDescent="0.2">
      <c r="B27" s="18"/>
      <c r="C27" s="19"/>
      <c r="D27" s="141"/>
      <c r="E27" s="19"/>
      <c r="F27" s="20"/>
      <c r="G27" s="21"/>
      <c r="H27" s="31"/>
    </row>
    <row r="28" spans="2:8" ht="15.75" customHeight="1" x14ac:dyDescent="0.25">
      <c r="B28" s="18"/>
      <c r="C28" s="19" t="s">
        <v>43</v>
      </c>
      <c r="D28" s="138">
        <f>PMT(D23,D10,-D26)</f>
        <v>-678.9783353792028</v>
      </c>
      <c r="E28" s="19"/>
      <c r="F28" s="20"/>
      <c r="G28" s="21"/>
      <c r="H28" s="31"/>
    </row>
    <row r="29" spans="2:8" ht="15.75" customHeight="1" x14ac:dyDescent="0.25">
      <c r="B29" s="18"/>
      <c r="C29" s="19"/>
      <c r="D29" s="161"/>
      <c r="E29" s="19"/>
      <c r="F29" s="20"/>
      <c r="G29" s="21"/>
      <c r="H29" s="31"/>
    </row>
    <row r="30" spans="2:8" ht="15.75" customHeight="1" x14ac:dyDescent="0.2">
      <c r="B30" s="18"/>
      <c r="C30" s="265" t="s">
        <v>306</v>
      </c>
      <c r="D30" s="142"/>
      <c r="E30" s="19"/>
      <c r="F30" s="20"/>
      <c r="G30" s="21"/>
      <c r="H30" s="31"/>
    </row>
    <row r="31" spans="2:8" ht="15.75" customHeight="1" x14ac:dyDescent="0.2">
      <c r="B31" s="18"/>
      <c r="C31" s="19" t="s">
        <v>21</v>
      </c>
      <c r="D31" s="141">
        <f>-D12+PV(D23,D14,D13)</f>
        <v>-2801.0842313732915</v>
      </c>
      <c r="E31" s="19"/>
      <c r="F31" s="20"/>
      <c r="G31" s="21"/>
      <c r="H31" s="31"/>
    </row>
    <row r="32" spans="2:8" ht="15.75" customHeight="1" x14ac:dyDescent="0.2">
      <c r="B32" s="18"/>
      <c r="C32" s="19"/>
      <c r="D32" s="141"/>
      <c r="E32" s="19"/>
      <c r="F32" s="20"/>
      <c r="G32" s="21"/>
      <c r="H32" s="31"/>
    </row>
    <row r="33" spans="2:8" ht="15.75" customHeight="1" x14ac:dyDescent="0.25">
      <c r="B33" s="18"/>
      <c r="C33" s="19" t="s">
        <v>43</v>
      </c>
      <c r="D33" s="138">
        <f>PMT(D23,D14,-D31)</f>
        <v>-661.80909674474447</v>
      </c>
      <c r="E33" s="19"/>
      <c r="F33" s="20"/>
      <c r="G33" s="21"/>
      <c r="H33" s="31"/>
    </row>
    <row r="34" spans="2:8" ht="15.75" customHeight="1" x14ac:dyDescent="0.2">
      <c r="B34" s="18"/>
      <c r="C34" s="19"/>
      <c r="D34" s="62"/>
      <c r="E34" s="19"/>
      <c r="F34" s="20"/>
      <c r="G34" s="21"/>
      <c r="H34" s="31"/>
    </row>
    <row r="35" spans="2:8" ht="15.75" customHeight="1" x14ac:dyDescent="0.2">
      <c r="B35" s="18"/>
      <c r="C35" s="19" t="s">
        <v>310</v>
      </c>
      <c r="D35" s="62"/>
      <c r="E35" s="19"/>
      <c r="F35" s="20"/>
      <c r="G35" s="21"/>
      <c r="H35" s="31"/>
    </row>
    <row r="36" spans="2:8" ht="15.75" customHeight="1" x14ac:dyDescent="0.2">
      <c r="B36" s="18"/>
      <c r="C36" s="19" t="s">
        <v>57</v>
      </c>
      <c r="D36" s="62"/>
      <c r="E36" s="19"/>
      <c r="F36" s="20"/>
      <c r="G36" s="21"/>
      <c r="H36" s="31"/>
    </row>
    <row r="37" spans="2:8" ht="15.75" customHeight="1" x14ac:dyDescent="0.2">
      <c r="B37" s="18"/>
      <c r="C37" s="19" t="s">
        <v>311</v>
      </c>
      <c r="D37" s="62"/>
      <c r="E37" s="19"/>
      <c r="F37" s="20"/>
      <c r="G37" s="21"/>
      <c r="H37" s="31"/>
    </row>
    <row r="38" spans="2:8" ht="15.75" customHeight="1" x14ac:dyDescent="0.2">
      <c r="B38" s="18"/>
      <c r="C38" s="19" t="s">
        <v>312</v>
      </c>
      <c r="D38" s="62"/>
      <c r="E38" s="19"/>
      <c r="F38" s="143" t="str">
        <f>IF(D28&gt;D33,"XX40","RH45")</f>
        <v>RH45</v>
      </c>
      <c r="G38" s="21"/>
      <c r="H38" s="31"/>
    </row>
    <row r="39" spans="2:8" ht="15.75" customHeight="1" x14ac:dyDescent="0.2">
      <c r="B39" s="18"/>
      <c r="C39" s="19" t="s">
        <v>313</v>
      </c>
      <c r="D39" s="212"/>
      <c r="E39" s="19"/>
      <c r="F39" s="20"/>
      <c r="G39" s="21"/>
      <c r="H39" s="31"/>
    </row>
    <row r="40" spans="2:8" ht="15.75" customHeight="1" thickBot="1" x14ac:dyDescent="0.25">
      <c r="B40" s="23"/>
      <c r="C40" s="53"/>
      <c r="D40" s="63"/>
      <c r="E40" s="24"/>
      <c r="F40" s="24"/>
      <c r="G40" s="25"/>
      <c r="H40" s="30"/>
    </row>
    <row r="41" spans="2:8" ht="15.75" customHeight="1" x14ac:dyDescent="0.2">
      <c r="B41" s="14"/>
      <c r="C41" s="14"/>
      <c r="D41" s="14"/>
      <c r="E41" s="14"/>
      <c r="F41" s="14"/>
      <c r="G41" s="14"/>
      <c r="H41" s="14"/>
    </row>
    <row r="42" spans="2:8" ht="15.75" customHeight="1" x14ac:dyDescent="0.2"/>
    <row r="43" spans="2:8" ht="15.75" customHeight="1" x14ac:dyDescent="0.2">
      <c r="D43" s="26"/>
    </row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8.28515625" bestFit="1" customWidth="1"/>
    <col min="5" max="9" width="17.5703125" bestFit="1" customWidth="1"/>
    <col min="10" max="10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134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314</v>
      </c>
      <c r="D7" s="84">
        <v>975000</v>
      </c>
      <c r="E7" s="9"/>
    </row>
    <row r="8" spans="2:5" ht="15.75" customHeight="1" x14ac:dyDescent="0.2">
      <c r="B8" s="8"/>
      <c r="C8" s="13" t="s">
        <v>319</v>
      </c>
      <c r="D8" s="279">
        <v>20000</v>
      </c>
      <c r="E8" s="9"/>
    </row>
    <row r="9" spans="2:5" ht="15.75" customHeight="1" x14ac:dyDescent="0.2">
      <c r="B9" s="8"/>
      <c r="C9" s="13" t="s">
        <v>315</v>
      </c>
      <c r="D9" s="264">
        <v>43</v>
      </c>
      <c r="E9" s="9"/>
    </row>
    <row r="10" spans="2:5" ht="15.75" customHeight="1" x14ac:dyDescent="0.2">
      <c r="B10" s="8"/>
      <c r="C10" s="13" t="s">
        <v>316</v>
      </c>
      <c r="D10" s="152">
        <v>0.03</v>
      </c>
      <c r="E10" s="9"/>
    </row>
    <row r="11" spans="2:5" ht="15.75" customHeight="1" x14ac:dyDescent="0.2">
      <c r="B11" s="8"/>
      <c r="C11" s="13" t="s">
        <v>317</v>
      </c>
      <c r="D11" s="264">
        <v>15</v>
      </c>
      <c r="E11" s="9"/>
    </row>
    <row r="12" spans="2:5" ht="15.75" customHeight="1" x14ac:dyDescent="0.2">
      <c r="B12" s="8"/>
      <c r="C12" s="13" t="s">
        <v>318</v>
      </c>
      <c r="D12" s="152">
        <v>0.04</v>
      </c>
      <c r="E12" s="9"/>
    </row>
    <row r="13" spans="2:5" ht="15.75" customHeight="1" x14ac:dyDescent="0.2">
      <c r="B13" s="8"/>
      <c r="C13" s="13" t="s">
        <v>81</v>
      </c>
      <c r="D13" s="264">
        <v>195000</v>
      </c>
      <c r="E13" s="9"/>
    </row>
    <row r="14" spans="2:5" ht="15.75" customHeight="1" x14ac:dyDescent="0.2">
      <c r="B14" s="8"/>
      <c r="C14" s="13" t="s">
        <v>91</v>
      </c>
      <c r="D14" s="264">
        <v>25000</v>
      </c>
      <c r="E14" s="9"/>
    </row>
    <row r="15" spans="2:5" ht="15.75" customHeight="1" x14ac:dyDescent="0.2">
      <c r="B15" s="8"/>
      <c r="C15" s="13" t="s">
        <v>6</v>
      </c>
      <c r="D15" s="152">
        <v>0.34</v>
      </c>
      <c r="E15" s="9"/>
    </row>
    <row r="16" spans="2:5" ht="15.75" customHeight="1" x14ac:dyDescent="0.2">
      <c r="B16" s="8"/>
      <c r="C16" s="13" t="s">
        <v>20</v>
      </c>
      <c r="D16" s="152">
        <v>0.11</v>
      </c>
      <c r="E16" s="9"/>
    </row>
    <row r="17" spans="2:11" ht="15.75" customHeight="1" x14ac:dyDescent="0.2">
      <c r="B17" s="8"/>
      <c r="C17" s="13" t="s">
        <v>52</v>
      </c>
      <c r="D17" s="59"/>
      <c r="E17" s="9"/>
    </row>
    <row r="18" spans="2:11" ht="15.75" customHeight="1" thickBot="1" x14ac:dyDescent="0.25">
      <c r="B18" s="10"/>
      <c r="C18" s="28"/>
      <c r="D18" s="61"/>
      <c r="E18" s="12"/>
    </row>
    <row r="19" spans="2:11" ht="15.75" customHeight="1" x14ac:dyDescent="0.2"/>
    <row r="20" spans="2:11" ht="15.75" customHeight="1" x14ac:dyDescent="0.2">
      <c r="C20" s="2" t="s">
        <v>2</v>
      </c>
    </row>
    <row r="21" spans="2:11" ht="15.75" customHeight="1" thickBot="1" x14ac:dyDescent="0.25"/>
    <row r="22" spans="2:11" ht="15.75" customHeight="1" x14ac:dyDescent="0.2">
      <c r="B22" s="15"/>
      <c r="C22" s="16"/>
      <c r="D22" s="16"/>
      <c r="E22" s="16"/>
      <c r="F22" s="16"/>
      <c r="G22" s="16"/>
      <c r="H22" s="16"/>
      <c r="I22" s="16"/>
      <c r="J22" s="17"/>
      <c r="K22" s="30"/>
    </row>
    <row r="23" spans="2:11" ht="15.75" customHeight="1" x14ac:dyDescent="0.2">
      <c r="B23" s="18"/>
      <c r="C23" s="19" t="s">
        <v>272</v>
      </c>
      <c r="D23" s="20"/>
      <c r="E23" s="86">
        <f>D9</f>
        <v>43</v>
      </c>
      <c r="F23" s="86">
        <f>E23*(1+$D$10)</f>
        <v>44.29</v>
      </c>
      <c r="G23" s="86">
        <f>F23*(1+$D$10)</f>
        <v>45.618699999999997</v>
      </c>
      <c r="H23" s="86">
        <f>G23*(1+$D$10)</f>
        <v>46.987260999999997</v>
      </c>
      <c r="I23" s="86">
        <f>H23*(1+$D$10)</f>
        <v>48.396878829999999</v>
      </c>
      <c r="J23" s="21"/>
      <c r="K23" s="30"/>
    </row>
    <row r="24" spans="2:11" ht="15.75" customHeight="1" x14ac:dyDescent="0.2">
      <c r="B24" s="18"/>
      <c r="C24" s="19" t="s">
        <v>178</v>
      </c>
      <c r="D24" s="20"/>
      <c r="E24" s="86">
        <f>D11</f>
        <v>15</v>
      </c>
      <c r="F24" s="86">
        <f>E24*(1+$D$12)</f>
        <v>15.600000000000001</v>
      </c>
      <c r="G24" s="86">
        <f>F24*(1+$D$12)</f>
        <v>16.224000000000004</v>
      </c>
      <c r="H24" s="86">
        <f>G24*(1+$D$12)</f>
        <v>16.872960000000006</v>
      </c>
      <c r="I24" s="86">
        <f>H24*(1+$D$12)</f>
        <v>17.547878400000005</v>
      </c>
      <c r="J24" s="21"/>
      <c r="K24" s="30"/>
    </row>
    <row r="25" spans="2:11" ht="15.75" customHeight="1" x14ac:dyDescent="0.2">
      <c r="B25" s="18"/>
      <c r="C25" s="20"/>
      <c r="D25" s="20"/>
      <c r="E25" s="20"/>
      <c r="F25" s="20"/>
      <c r="G25" s="20"/>
      <c r="H25" s="20"/>
      <c r="I25" s="20"/>
      <c r="J25" s="21"/>
      <c r="K25" s="30"/>
    </row>
    <row r="26" spans="2:11" ht="15.75" customHeight="1" x14ac:dyDescent="0.2">
      <c r="B26" s="18"/>
      <c r="C26" s="265"/>
      <c r="D26" s="266" t="s">
        <v>180</v>
      </c>
      <c r="E26" s="266" t="s">
        <v>181</v>
      </c>
      <c r="F26" s="266" t="s">
        <v>182</v>
      </c>
      <c r="G26" s="266" t="s">
        <v>183</v>
      </c>
      <c r="H26" s="266" t="s">
        <v>184</v>
      </c>
      <c r="I26" s="266" t="s">
        <v>231</v>
      </c>
      <c r="J26" s="21"/>
      <c r="K26" s="30"/>
    </row>
    <row r="27" spans="2:11" ht="15.75" customHeight="1" x14ac:dyDescent="0.2">
      <c r="B27" s="18"/>
      <c r="C27" s="19" t="s">
        <v>254</v>
      </c>
      <c r="D27" s="19"/>
      <c r="E27" s="223">
        <f>E23*$D$8</f>
        <v>860000</v>
      </c>
      <c r="F27" s="223">
        <f>F23*$D$8</f>
        <v>885800</v>
      </c>
      <c r="G27" s="223">
        <f>G23*$D$8</f>
        <v>912373.99999999988</v>
      </c>
      <c r="H27" s="223">
        <f>H23*$D$8</f>
        <v>939745.22</v>
      </c>
      <c r="I27" s="223">
        <f>I23*$D$8</f>
        <v>967937.57660000003</v>
      </c>
      <c r="J27" s="21"/>
      <c r="K27" s="30"/>
    </row>
    <row r="28" spans="2:11" ht="15.75" customHeight="1" x14ac:dyDescent="0.2">
      <c r="B28" s="18"/>
      <c r="C28" s="19" t="s">
        <v>81</v>
      </c>
      <c r="D28" s="19"/>
      <c r="E28" s="232">
        <f>D13</f>
        <v>195000</v>
      </c>
      <c r="F28" s="232">
        <f>E28</f>
        <v>195000</v>
      </c>
      <c r="G28" s="232">
        <f>F28</f>
        <v>195000</v>
      </c>
      <c r="H28" s="232">
        <f>G28</f>
        <v>195000</v>
      </c>
      <c r="I28" s="232">
        <f>H28</f>
        <v>195000</v>
      </c>
      <c r="J28" s="21"/>
      <c r="K28" s="30"/>
    </row>
    <row r="29" spans="2:11" ht="15.75" customHeight="1" x14ac:dyDescent="0.2">
      <c r="B29" s="18"/>
      <c r="C29" s="19" t="s">
        <v>80</v>
      </c>
      <c r="D29" s="19"/>
      <c r="E29" s="232">
        <f>E24*$D$8</f>
        <v>300000</v>
      </c>
      <c r="F29" s="232">
        <f>F24*$D$8</f>
        <v>312000</v>
      </c>
      <c r="G29" s="232">
        <f>G24*$D$8</f>
        <v>324480.00000000006</v>
      </c>
      <c r="H29" s="232">
        <f>H24*$D$8</f>
        <v>337459.20000000013</v>
      </c>
      <c r="I29" s="232">
        <f>I24*$D$8</f>
        <v>350957.56800000009</v>
      </c>
      <c r="J29" s="21"/>
      <c r="K29" s="30"/>
    </row>
    <row r="30" spans="2:11" ht="15.75" customHeight="1" x14ac:dyDescent="0.2">
      <c r="B30" s="18"/>
      <c r="C30" s="19" t="s">
        <v>5</v>
      </c>
      <c r="D30" s="19"/>
      <c r="E30" s="278">
        <f>D7/5</f>
        <v>195000</v>
      </c>
      <c r="F30" s="278">
        <f>E30</f>
        <v>195000</v>
      </c>
      <c r="G30" s="278">
        <f>F30</f>
        <v>195000</v>
      </c>
      <c r="H30" s="278">
        <f>G30</f>
        <v>195000</v>
      </c>
      <c r="I30" s="278">
        <f>H30</f>
        <v>195000</v>
      </c>
      <c r="J30" s="21"/>
      <c r="K30" s="30"/>
    </row>
    <row r="31" spans="2:11" ht="15.75" customHeight="1" x14ac:dyDescent="0.2">
      <c r="B31" s="18"/>
      <c r="C31" s="19" t="s">
        <v>8</v>
      </c>
      <c r="D31" s="20"/>
      <c r="E31" s="223">
        <f>E27-E28-E29-E30</f>
        <v>170000</v>
      </c>
      <c r="F31" s="223">
        <f>F27-F28-F29-F30</f>
        <v>183800</v>
      </c>
      <c r="G31" s="223">
        <f>G27-G28-G29-G30</f>
        <v>197893.99999999983</v>
      </c>
      <c r="H31" s="223">
        <f>H27-H28-H29-H30</f>
        <v>212286.01999999984</v>
      </c>
      <c r="I31" s="223">
        <f>I27-I28-I29-I30</f>
        <v>226980.00859999994</v>
      </c>
      <c r="J31" s="21"/>
      <c r="K31" s="30"/>
    </row>
    <row r="32" spans="2:11" ht="15.75" customHeight="1" x14ac:dyDescent="0.2">
      <c r="B32" s="18"/>
      <c r="C32" s="19" t="s">
        <v>79</v>
      </c>
      <c r="D32" s="19"/>
      <c r="E32" s="232">
        <f>E31*$D$15</f>
        <v>57800.000000000007</v>
      </c>
      <c r="F32" s="232">
        <f>F31*$D$15</f>
        <v>62492.000000000007</v>
      </c>
      <c r="G32" s="232">
        <f>G31*$D$15</f>
        <v>67283.959999999948</v>
      </c>
      <c r="H32" s="232">
        <f>H31*$D$15</f>
        <v>72177.24679999995</v>
      </c>
      <c r="I32" s="232">
        <f>I31*$D$15</f>
        <v>77173.202923999983</v>
      </c>
      <c r="J32" s="21"/>
      <c r="K32" s="30"/>
    </row>
    <row r="33" spans="2:11" ht="15.75" customHeight="1" thickBot="1" x14ac:dyDescent="0.25">
      <c r="B33" s="18"/>
      <c r="C33" s="19" t="s">
        <v>115</v>
      </c>
      <c r="D33" s="19"/>
      <c r="E33" s="277">
        <f>E31-E32</f>
        <v>112200</v>
      </c>
      <c r="F33" s="277">
        <f>F31-F32</f>
        <v>121308</v>
      </c>
      <c r="G33" s="277">
        <f>G31-G32</f>
        <v>130610.03999999988</v>
      </c>
      <c r="H33" s="277">
        <f>H31-H32</f>
        <v>140108.77319999988</v>
      </c>
      <c r="I33" s="277">
        <f>I31-I32</f>
        <v>149806.80567599996</v>
      </c>
      <c r="J33" s="21"/>
      <c r="K33" s="30"/>
    </row>
    <row r="34" spans="2:11" ht="15.75" customHeight="1" thickTop="1" x14ac:dyDescent="0.2">
      <c r="B34" s="18"/>
      <c r="C34" s="19" t="s">
        <v>11</v>
      </c>
      <c r="D34" s="19"/>
      <c r="E34" s="223">
        <f>E33+E30</f>
        <v>307200</v>
      </c>
      <c r="F34" s="223">
        <f>F33+F30</f>
        <v>316308</v>
      </c>
      <c r="G34" s="223">
        <f>G33+G30</f>
        <v>325610.03999999986</v>
      </c>
      <c r="H34" s="223">
        <f>H33+H30</f>
        <v>335108.77319999988</v>
      </c>
      <c r="I34" s="223">
        <f>I33+I30</f>
        <v>344806.80567599996</v>
      </c>
      <c r="J34" s="21"/>
      <c r="K34" s="30"/>
    </row>
    <row r="35" spans="2:11" ht="15.75" customHeight="1" x14ac:dyDescent="0.2">
      <c r="B35" s="18"/>
      <c r="C35" s="19"/>
      <c r="D35" s="19"/>
      <c r="E35" s="19"/>
      <c r="F35" s="19"/>
      <c r="G35" s="19"/>
      <c r="H35" s="19"/>
      <c r="I35" s="19"/>
      <c r="J35" s="21"/>
      <c r="K35" s="30"/>
    </row>
    <row r="36" spans="2:11" ht="15.75" customHeight="1" x14ac:dyDescent="0.2">
      <c r="B36" s="18"/>
      <c r="C36" s="19" t="s">
        <v>119</v>
      </c>
      <c r="D36" s="79">
        <f>-D7</f>
        <v>-975000</v>
      </c>
      <c r="E36" s="19"/>
      <c r="F36" s="19"/>
      <c r="G36" s="19"/>
      <c r="H36" s="19"/>
      <c r="I36" s="19"/>
      <c r="J36" s="21"/>
      <c r="K36" s="30"/>
    </row>
    <row r="37" spans="2:11" ht="15.75" customHeight="1" x14ac:dyDescent="0.2">
      <c r="B37" s="18"/>
      <c r="C37" s="19" t="s">
        <v>91</v>
      </c>
      <c r="D37" s="392">
        <f>-D14</f>
        <v>-25000</v>
      </c>
      <c r="E37" s="393"/>
      <c r="F37" s="393"/>
      <c r="G37" s="393"/>
      <c r="H37" s="393"/>
      <c r="I37" s="392">
        <f>D14</f>
        <v>25000</v>
      </c>
      <c r="J37" s="21"/>
      <c r="K37" s="30"/>
    </row>
    <row r="38" spans="2:11" ht="15.75" customHeight="1" x14ac:dyDescent="0.2">
      <c r="B38" s="18"/>
      <c r="C38" s="19"/>
      <c r="D38" s="19"/>
      <c r="E38" s="19"/>
      <c r="F38" s="19"/>
      <c r="G38" s="19"/>
      <c r="H38" s="19"/>
      <c r="I38" s="19"/>
      <c r="J38" s="21"/>
      <c r="K38" s="30"/>
    </row>
    <row r="39" spans="2:11" ht="15.75" customHeight="1" x14ac:dyDescent="0.2">
      <c r="B39" s="18"/>
      <c r="C39" s="19" t="s">
        <v>120</v>
      </c>
      <c r="D39" s="86">
        <f t="shared" ref="D39:I39" si="0">D36+D37+D34</f>
        <v>-1000000</v>
      </c>
      <c r="E39" s="86">
        <f t="shared" si="0"/>
        <v>307200</v>
      </c>
      <c r="F39" s="86">
        <f t="shared" si="0"/>
        <v>316308</v>
      </c>
      <c r="G39" s="86">
        <f t="shared" si="0"/>
        <v>325610.03999999986</v>
      </c>
      <c r="H39" s="86">
        <f t="shared" si="0"/>
        <v>335108.77319999988</v>
      </c>
      <c r="I39" s="86">
        <f t="shared" si="0"/>
        <v>369806.80567599996</v>
      </c>
      <c r="J39" s="21"/>
      <c r="K39" s="30"/>
    </row>
    <row r="40" spans="2:11" ht="15.75" customHeight="1" x14ac:dyDescent="0.2">
      <c r="B40" s="18"/>
      <c r="C40" s="20"/>
      <c r="D40" s="20"/>
      <c r="E40" s="20"/>
      <c r="F40" s="20"/>
      <c r="G40" s="20"/>
      <c r="H40" s="20"/>
      <c r="I40" s="20"/>
      <c r="J40" s="21"/>
      <c r="K40" s="30"/>
    </row>
    <row r="41" spans="2:11" ht="15.75" customHeight="1" x14ac:dyDescent="0.25">
      <c r="B41" s="18"/>
      <c r="C41" s="19" t="s">
        <v>21</v>
      </c>
      <c r="D41" s="130">
        <f>NPV(D16,E39:I39)+D39</f>
        <v>211771.54885246209</v>
      </c>
      <c r="E41" s="265"/>
      <c r="F41" s="265"/>
      <c r="G41" s="265"/>
      <c r="H41" s="265"/>
      <c r="I41" s="265"/>
      <c r="J41" s="21"/>
      <c r="K41" s="30"/>
    </row>
    <row r="42" spans="2:11" ht="15.75" customHeight="1" x14ac:dyDescent="0.25">
      <c r="B42" s="18"/>
      <c r="C42" s="19"/>
      <c r="D42" s="87"/>
      <c r="E42" s="265"/>
      <c r="F42" s="265"/>
      <c r="G42" s="265"/>
      <c r="H42" s="265"/>
      <c r="I42" s="265"/>
      <c r="J42" s="21"/>
      <c r="K42" s="30"/>
    </row>
    <row r="43" spans="2:11" ht="15.75" customHeight="1" x14ac:dyDescent="0.2">
      <c r="B43" s="18"/>
      <c r="C43" s="265" t="s">
        <v>411</v>
      </c>
      <c r="D43" s="86"/>
      <c r="E43" s="265"/>
      <c r="F43" s="265"/>
      <c r="G43" s="265"/>
      <c r="H43" s="265"/>
      <c r="I43" s="265"/>
      <c r="J43" s="21"/>
      <c r="K43" s="30"/>
    </row>
    <row r="44" spans="2:11" ht="15.75" customHeight="1" x14ac:dyDescent="0.2">
      <c r="B44" s="18"/>
      <c r="C44" s="19" t="s">
        <v>412</v>
      </c>
      <c r="D44" s="86">
        <f>E27*((1/(D16-D10))-((1/(D16-D10))*(((1+D10)/(1+D16))^5)))</f>
        <v>3354293.0559951956</v>
      </c>
      <c r="E44" s="265"/>
      <c r="F44" s="265"/>
      <c r="G44" s="265"/>
      <c r="H44" s="265"/>
      <c r="I44" s="265"/>
      <c r="J44" s="21"/>
      <c r="K44" s="30"/>
    </row>
    <row r="45" spans="2:11" ht="15.75" customHeight="1" x14ac:dyDescent="0.2">
      <c r="B45" s="18"/>
      <c r="C45" s="19" t="s">
        <v>413</v>
      </c>
      <c r="D45" s="86">
        <f>E29*((1/(D16-D12))-((1/(D16-D12))*(((1+D12)/(1+D16))^5)))</f>
        <v>1191324.511218942</v>
      </c>
      <c r="E45" s="342"/>
      <c r="F45" s="265"/>
      <c r="G45" s="265"/>
      <c r="H45" s="265"/>
      <c r="I45" s="265"/>
      <c r="J45" s="21"/>
      <c r="K45" s="30"/>
    </row>
    <row r="46" spans="2:11" ht="15.75" customHeight="1" x14ac:dyDescent="0.2">
      <c r="B46" s="18"/>
      <c r="C46" s="19" t="s">
        <v>414</v>
      </c>
      <c r="D46" s="86">
        <f>PV(D16,5,-D13)</f>
        <v>720699.91844164603</v>
      </c>
      <c r="E46" s="265"/>
      <c r="F46" s="265"/>
      <c r="G46" s="265"/>
      <c r="H46" s="265"/>
      <c r="I46" s="265"/>
      <c r="J46" s="21"/>
      <c r="K46" s="30"/>
    </row>
    <row r="47" spans="2:11" ht="15.75" customHeight="1" x14ac:dyDescent="0.2">
      <c r="B47" s="18"/>
      <c r="C47" s="19" t="s">
        <v>415</v>
      </c>
      <c r="D47" s="86">
        <f>PV(D16,5,-E30)</f>
        <v>720699.91844164603</v>
      </c>
      <c r="E47" s="265"/>
      <c r="F47" s="343"/>
      <c r="G47" s="265"/>
      <c r="H47" s="265"/>
      <c r="I47" s="265"/>
      <c r="J47" s="21"/>
      <c r="K47" s="30"/>
    </row>
    <row r="48" spans="2:11" ht="15.75" customHeight="1" x14ac:dyDescent="0.2">
      <c r="B48" s="18"/>
      <c r="C48" s="19"/>
      <c r="D48" s="86"/>
      <c r="E48" s="265"/>
      <c r="F48" s="265"/>
      <c r="G48" s="265"/>
      <c r="H48" s="265"/>
      <c r="I48" s="265"/>
      <c r="J48" s="21"/>
      <c r="K48" s="30"/>
    </row>
    <row r="49" spans="2:11" ht="15.75" customHeight="1" x14ac:dyDescent="0.2">
      <c r="B49" s="18"/>
      <c r="C49" s="19" t="s">
        <v>420</v>
      </c>
      <c r="D49" s="86">
        <f>D44*(1-$D$15)</f>
        <v>2213833.4169568289</v>
      </c>
      <c r="E49" s="265"/>
      <c r="F49" s="265"/>
      <c r="G49" s="265"/>
      <c r="H49" s="265"/>
      <c r="I49" s="265"/>
      <c r="J49" s="21"/>
      <c r="K49" s="30"/>
    </row>
    <row r="50" spans="2:11" ht="15.75" customHeight="1" x14ac:dyDescent="0.2">
      <c r="B50" s="18"/>
      <c r="C50" s="19" t="s">
        <v>421</v>
      </c>
      <c r="D50" s="86">
        <f>D45*(1-$D$15)</f>
        <v>786274.17740450159</v>
      </c>
      <c r="E50" s="265"/>
      <c r="F50" s="265"/>
      <c r="G50" s="265"/>
      <c r="H50" s="265"/>
      <c r="I50" s="265"/>
      <c r="J50" s="21"/>
      <c r="K50" s="30"/>
    </row>
    <row r="51" spans="2:11" ht="15.75" customHeight="1" x14ac:dyDescent="0.2">
      <c r="B51" s="18"/>
      <c r="C51" s="19" t="s">
        <v>417</v>
      </c>
      <c r="D51" s="86">
        <f>D46*(1-$D$15)</f>
        <v>475661.94617148634</v>
      </c>
      <c r="E51" s="265"/>
      <c r="F51" s="265"/>
      <c r="G51" s="265"/>
      <c r="H51" s="265"/>
      <c r="I51" s="265"/>
      <c r="J51" s="21"/>
      <c r="K51" s="30"/>
    </row>
    <row r="52" spans="2:11" ht="15.75" customHeight="1" x14ac:dyDescent="0.2">
      <c r="B52" s="18"/>
      <c r="C52" s="19" t="s">
        <v>418</v>
      </c>
      <c r="D52" s="86"/>
      <c r="E52" s="265"/>
      <c r="F52" s="265"/>
      <c r="G52" s="265"/>
      <c r="H52" s="265"/>
      <c r="I52" s="265"/>
      <c r="J52" s="21"/>
      <c r="K52" s="30"/>
    </row>
    <row r="53" spans="2:11" ht="15.75" customHeight="1" x14ac:dyDescent="0.2">
      <c r="B53" s="18"/>
      <c r="C53" s="19" t="s">
        <v>419</v>
      </c>
      <c r="D53" s="86">
        <f>D15*D47</f>
        <v>245037.97227015966</v>
      </c>
      <c r="E53" s="265"/>
      <c r="F53" s="265"/>
      <c r="G53" s="265"/>
      <c r="H53" s="265"/>
      <c r="I53" s="265"/>
      <c r="J53" s="21"/>
      <c r="K53" s="30"/>
    </row>
    <row r="54" spans="2:11" ht="15.75" customHeight="1" x14ac:dyDescent="0.25">
      <c r="B54" s="18"/>
      <c r="C54" s="19"/>
      <c r="D54" s="87"/>
      <c r="E54" s="265"/>
      <c r="F54" s="265"/>
      <c r="G54" s="265"/>
      <c r="H54" s="265"/>
      <c r="I54" s="265"/>
      <c r="J54" s="21"/>
      <c r="K54" s="30"/>
    </row>
    <row r="55" spans="2:11" ht="15.75" customHeight="1" x14ac:dyDescent="0.25">
      <c r="B55" s="18"/>
      <c r="C55" s="19" t="s">
        <v>21</v>
      </c>
      <c r="D55" s="130">
        <f>D39+D49-D50-D51+D53+(I37/(1+D16)^5)</f>
        <v>211771.54885246459</v>
      </c>
      <c r="E55" s="265"/>
      <c r="F55" s="265"/>
      <c r="G55" s="265"/>
      <c r="H55" s="265"/>
      <c r="I55" s="265"/>
      <c r="J55" s="21"/>
      <c r="K55" s="30"/>
    </row>
    <row r="56" spans="2:11" ht="15.75" customHeight="1" thickBot="1" x14ac:dyDescent="0.25">
      <c r="B56" s="23"/>
      <c r="C56" s="53"/>
      <c r="D56" s="53"/>
      <c r="E56" s="53"/>
      <c r="F56" s="53"/>
      <c r="G56" s="53"/>
      <c r="H56" s="53"/>
      <c r="I56" s="53"/>
      <c r="J56" s="25"/>
      <c r="K56" s="30"/>
    </row>
    <row r="57" spans="2:11" ht="15.75" customHeight="1" x14ac:dyDescent="0.2">
      <c r="B57" s="14"/>
      <c r="C57" s="14"/>
      <c r="D57" s="14"/>
      <c r="E57" s="14"/>
      <c r="F57" s="14"/>
      <c r="G57" s="14"/>
      <c r="H57" s="14"/>
    </row>
    <row r="58" spans="2:11" ht="15.75" customHeight="1" x14ac:dyDescent="0.2"/>
    <row r="59" spans="2:11" ht="15.75" customHeight="1" x14ac:dyDescent="0.2">
      <c r="D59" s="26"/>
    </row>
    <row r="60" spans="2:11" ht="15.75" customHeight="1" x14ac:dyDescent="0.2"/>
    <row r="61" spans="2:11" ht="15.75" customHeight="1" x14ac:dyDescent="0.2"/>
    <row r="62" spans="2:11" ht="15.75" customHeight="1" x14ac:dyDescent="0.2"/>
    <row r="63" spans="2:11" ht="15.75" customHeight="1" x14ac:dyDescent="0.2"/>
    <row r="64" spans="2:11" ht="15.75" customHeight="1" x14ac:dyDescent="0.2"/>
    <row r="65" ht="15.75" customHeight="1" x14ac:dyDescent="0.2"/>
    <row r="66" ht="15.75" customHeight="1" x14ac:dyDescent="0.2"/>
    <row r="67" ht="15.75" customHeight="1" x14ac:dyDescent="0.2"/>
  </sheetData>
  <phoneticPr fontId="0" type="noConversion"/>
  <pageMargins left="0.75" right="0.75" top="1" bottom="1" header="0.5" footer="0.5"/>
  <pageSetup scale="66" orientation="portrait" horizontalDpi="360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9" width="19.42578125" customWidth="1"/>
    <col min="10" max="10" width="3.140625" customWidth="1"/>
    <col min="13" max="13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163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103</v>
      </c>
      <c r="D7" s="90">
        <v>81000</v>
      </c>
      <c r="E7" s="9"/>
      <c r="G7" s="57"/>
    </row>
    <row r="8" spans="2:7" ht="15.75" customHeight="1" x14ac:dyDescent="0.2">
      <c r="B8" s="8"/>
      <c r="C8" s="13" t="s">
        <v>104</v>
      </c>
      <c r="D8" s="90">
        <v>89000</v>
      </c>
      <c r="E8" s="9"/>
      <c r="G8" s="57"/>
    </row>
    <row r="9" spans="2:7" ht="15.75" customHeight="1" x14ac:dyDescent="0.2">
      <c r="B9" s="8"/>
      <c r="C9" s="13" t="s">
        <v>105</v>
      </c>
      <c r="D9" s="90">
        <v>97000</v>
      </c>
      <c r="E9" s="9"/>
      <c r="G9" s="57"/>
    </row>
    <row r="10" spans="2:7" ht="15.75" customHeight="1" x14ac:dyDescent="0.2">
      <c r="B10" s="8"/>
      <c r="C10" s="13" t="s">
        <v>106</v>
      </c>
      <c r="D10" s="90">
        <v>92000</v>
      </c>
      <c r="E10" s="9"/>
      <c r="G10" s="57"/>
    </row>
    <row r="11" spans="2:7" ht="15.75" customHeight="1" x14ac:dyDescent="0.2">
      <c r="B11" s="8"/>
      <c r="C11" s="13" t="s">
        <v>107</v>
      </c>
      <c r="D11" s="90">
        <v>77000</v>
      </c>
      <c r="E11" s="9"/>
      <c r="G11" s="57"/>
    </row>
    <row r="12" spans="2:7" ht="15.75" customHeight="1" x14ac:dyDescent="0.2">
      <c r="B12" s="8"/>
      <c r="C12" s="13" t="s">
        <v>72</v>
      </c>
      <c r="D12" s="84">
        <v>1500000</v>
      </c>
      <c r="E12" s="9"/>
      <c r="G12" s="57"/>
    </row>
    <row r="13" spans="2:7" ht="15.75" customHeight="1" x14ac:dyDescent="0.2">
      <c r="B13" s="8"/>
      <c r="C13" s="13" t="s">
        <v>102</v>
      </c>
      <c r="D13" s="152">
        <v>0.15</v>
      </c>
      <c r="E13" s="9"/>
    </row>
    <row r="14" spans="2:7" ht="15.75" customHeight="1" x14ac:dyDescent="0.2">
      <c r="B14" s="8"/>
      <c r="C14" s="13" t="s">
        <v>81</v>
      </c>
      <c r="D14" s="84">
        <v>1850000</v>
      </c>
      <c r="E14" s="9"/>
    </row>
    <row r="15" spans="2:7" ht="15.75" customHeight="1" x14ac:dyDescent="0.2">
      <c r="B15" s="8"/>
      <c r="C15" s="13" t="s">
        <v>108</v>
      </c>
      <c r="D15" s="153">
        <v>190</v>
      </c>
      <c r="E15" s="9"/>
    </row>
    <row r="16" spans="2:7" ht="15.75" customHeight="1" x14ac:dyDescent="0.2">
      <c r="B16" s="8"/>
      <c r="C16" s="13" t="s">
        <v>109</v>
      </c>
      <c r="D16" s="84">
        <v>345</v>
      </c>
      <c r="E16" s="9"/>
    </row>
    <row r="17" spans="2:10" ht="15.75" customHeight="1" x14ac:dyDescent="0.2">
      <c r="B17" s="8"/>
      <c r="C17" s="13" t="s">
        <v>110</v>
      </c>
      <c r="D17" s="84">
        <v>19500000</v>
      </c>
      <c r="E17" s="9"/>
    </row>
    <row r="18" spans="2:10" ht="15.75" customHeight="1" x14ac:dyDescent="0.2">
      <c r="B18" s="8"/>
      <c r="C18" s="13" t="s">
        <v>111</v>
      </c>
      <c r="D18" s="83">
        <v>0.2</v>
      </c>
      <c r="E18" s="9"/>
    </row>
    <row r="19" spans="2:10" ht="15.75" customHeight="1" x14ac:dyDescent="0.2">
      <c r="B19" s="8"/>
      <c r="C19" s="13" t="s">
        <v>6</v>
      </c>
      <c r="D19" s="83">
        <v>0.35</v>
      </c>
      <c r="E19" s="9"/>
    </row>
    <row r="20" spans="2:10" ht="15.75" customHeight="1" x14ac:dyDescent="0.2">
      <c r="B20" s="8"/>
      <c r="C20" s="13" t="s">
        <v>20</v>
      </c>
      <c r="D20" s="152">
        <v>0.18</v>
      </c>
      <c r="E20" s="9"/>
    </row>
    <row r="21" spans="2:10" ht="15.75" customHeight="1" x14ac:dyDescent="0.2">
      <c r="B21" s="8"/>
      <c r="C21" s="13" t="s">
        <v>112</v>
      </c>
      <c r="D21" s="154">
        <v>0.1429</v>
      </c>
      <c r="E21" s="9"/>
    </row>
    <row r="22" spans="2:10" ht="15.75" customHeight="1" x14ac:dyDescent="0.2">
      <c r="B22" s="8"/>
      <c r="C22" s="13"/>
      <c r="D22" s="154">
        <v>0.24490000000000001</v>
      </c>
      <c r="E22" s="9"/>
    </row>
    <row r="23" spans="2:10" ht="15.75" customHeight="1" x14ac:dyDescent="0.2">
      <c r="B23" s="8"/>
      <c r="C23" s="13"/>
      <c r="D23" s="154">
        <v>0.1749</v>
      </c>
      <c r="E23" s="9"/>
    </row>
    <row r="24" spans="2:10" ht="15.75" customHeight="1" x14ac:dyDescent="0.2">
      <c r="B24" s="8"/>
      <c r="C24" s="13"/>
      <c r="D24" s="154">
        <v>0.1249</v>
      </c>
      <c r="E24" s="9"/>
    </row>
    <row r="25" spans="2:10" ht="15.75" customHeight="1" x14ac:dyDescent="0.2">
      <c r="B25" s="8"/>
      <c r="C25" s="13"/>
      <c r="D25" s="154">
        <v>8.9300000000000004E-2</v>
      </c>
      <c r="E25" s="9"/>
    </row>
    <row r="26" spans="2:10" ht="15.75" customHeight="1" thickBot="1" x14ac:dyDescent="0.25">
      <c r="B26" s="10"/>
      <c r="C26" s="65"/>
      <c r="D26" s="65"/>
      <c r="E26" s="12"/>
    </row>
    <row r="27" spans="2:10" ht="15.75" customHeight="1" x14ac:dyDescent="0.2">
      <c r="B27" s="64"/>
      <c r="J27" s="64"/>
    </row>
    <row r="28" spans="2:10" ht="15.75" customHeight="1" x14ac:dyDescent="0.2">
      <c r="C28" s="2" t="s">
        <v>2</v>
      </c>
    </row>
    <row r="29" spans="2:10" ht="15.75" customHeight="1" thickBot="1" x14ac:dyDescent="0.25"/>
    <row r="30" spans="2:10" ht="15.75" customHeight="1" x14ac:dyDescent="0.2">
      <c r="B30" s="68"/>
      <c r="C30" s="69"/>
      <c r="D30" s="69"/>
      <c r="E30" s="69"/>
      <c r="F30" s="69"/>
      <c r="G30" s="69"/>
      <c r="H30" s="69"/>
      <c r="I30" s="69"/>
      <c r="J30" s="155"/>
    </row>
    <row r="31" spans="2:10" ht="15.75" customHeight="1" x14ac:dyDescent="0.2">
      <c r="B31" s="70"/>
      <c r="C31" s="19"/>
      <c r="D31" s="19"/>
      <c r="E31" s="19"/>
      <c r="F31" s="19"/>
      <c r="G31" s="19"/>
      <c r="H31" s="19"/>
      <c r="I31" s="19"/>
      <c r="J31" s="22"/>
    </row>
    <row r="32" spans="2:10" ht="15.75" customHeight="1" x14ac:dyDescent="0.2">
      <c r="B32" s="70"/>
      <c r="C32" s="157" t="s">
        <v>24</v>
      </c>
      <c r="D32" s="156">
        <v>0</v>
      </c>
      <c r="E32" s="156">
        <v>1</v>
      </c>
      <c r="F32" s="156">
        <v>2</v>
      </c>
      <c r="G32" s="156">
        <v>3</v>
      </c>
      <c r="H32" s="156">
        <v>4</v>
      </c>
      <c r="I32" s="156">
        <v>5</v>
      </c>
      <c r="J32" s="22"/>
    </row>
    <row r="33" spans="2:13" ht="15.75" customHeight="1" x14ac:dyDescent="0.2">
      <c r="B33" s="70"/>
      <c r="C33" s="19" t="s">
        <v>113</v>
      </c>
      <c r="D33" s="137"/>
      <c r="E33" s="79">
        <f>D17-E38</f>
        <v>16713450</v>
      </c>
      <c r="F33" s="79">
        <f>E33-F38</f>
        <v>11937900</v>
      </c>
      <c r="G33" s="79">
        <f>F33-G38</f>
        <v>8527350</v>
      </c>
      <c r="H33" s="79">
        <f>G33-H38</f>
        <v>6091800</v>
      </c>
      <c r="I33" s="79">
        <f>H33-I38</f>
        <v>4350450</v>
      </c>
      <c r="J33" s="22"/>
    </row>
    <row r="34" spans="2:13" ht="15.75" customHeight="1" x14ac:dyDescent="0.2">
      <c r="B34" s="70"/>
      <c r="C34" s="19"/>
      <c r="D34" s="137"/>
      <c r="E34" s="79"/>
      <c r="F34" s="79"/>
      <c r="G34" s="79"/>
      <c r="H34" s="79"/>
      <c r="I34" s="79"/>
      <c r="J34" s="22"/>
    </row>
    <row r="35" spans="2:13" ht="15.75" customHeight="1" x14ac:dyDescent="0.2">
      <c r="B35" s="70"/>
      <c r="C35" s="19" t="s">
        <v>10</v>
      </c>
      <c r="D35" s="137"/>
      <c r="E35" s="79">
        <f>D7*D16</f>
        <v>27945000</v>
      </c>
      <c r="F35" s="79">
        <f>D8*D16</f>
        <v>30705000</v>
      </c>
      <c r="G35" s="79">
        <f>D9*D16</f>
        <v>33465000</v>
      </c>
      <c r="H35" s="79">
        <f>D10*D16</f>
        <v>31740000</v>
      </c>
      <c r="I35" s="79">
        <f>D11*D16</f>
        <v>26565000</v>
      </c>
      <c r="J35" s="22"/>
    </row>
    <row r="36" spans="2:13" ht="15.75" customHeight="1" x14ac:dyDescent="0.2">
      <c r="B36" s="70"/>
      <c r="C36" s="19" t="s">
        <v>80</v>
      </c>
      <c r="D36" s="137"/>
      <c r="E36" s="80">
        <f>D7*D15</f>
        <v>15390000</v>
      </c>
      <c r="F36" s="80">
        <f>D8*D15</f>
        <v>16910000</v>
      </c>
      <c r="G36" s="80">
        <f>D9*D15</f>
        <v>18430000</v>
      </c>
      <c r="H36" s="80">
        <f>D10*D15</f>
        <v>17480000</v>
      </c>
      <c r="I36" s="80">
        <f>D11*D15</f>
        <v>14630000</v>
      </c>
      <c r="J36" s="22"/>
    </row>
    <row r="37" spans="2:13" ht="15.75" customHeight="1" x14ac:dyDescent="0.2">
      <c r="B37" s="70"/>
      <c r="C37" s="19" t="s">
        <v>81</v>
      </c>
      <c r="D37" s="137"/>
      <c r="E37" s="80">
        <f>$D$14</f>
        <v>1850000</v>
      </c>
      <c r="F37" s="80">
        <f>$D$14</f>
        <v>1850000</v>
      </c>
      <c r="G37" s="80">
        <f>$D$14</f>
        <v>1850000</v>
      </c>
      <c r="H37" s="80">
        <f>$D$14</f>
        <v>1850000</v>
      </c>
      <c r="I37" s="80">
        <f>$D$14</f>
        <v>1850000</v>
      </c>
      <c r="J37" s="22"/>
    </row>
    <row r="38" spans="2:13" ht="15.75" customHeight="1" x14ac:dyDescent="0.2">
      <c r="B38" s="70"/>
      <c r="C38" s="19" t="s">
        <v>5</v>
      </c>
      <c r="D38" s="137"/>
      <c r="E38" s="82">
        <f>D17*D21</f>
        <v>2786550</v>
      </c>
      <c r="F38" s="82">
        <f>D17*D22</f>
        <v>4775550</v>
      </c>
      <c r="G38" s="82">
        <f>D17*D23</f>
        <v>3410550</v>
      </c>
      <c r="H38" s="82">
        <f>D17*D24</f>
        <v>2435550</v>
      </c>
      <c r="I38" s="82">
        <f>D17*D25</f>
        <v>1741350</v>
      </c>
      <c r="J38" s="22"/>
    </row>
    <row r="39" spans="2:13" ht="15.75" customHeight="1" x14ac:dyDescent="0.2">
      <c r="B39" s="70"/>
      <c r="C39" s="19" t="s">
        <v>114</v>
      </c>
      <c r="D39" s="137"/>
      <c r="E39" s="80">
        <f>E35-E36-E37-E38</f>
        <v>7918450</v>
      </c>
      <c r="F39" s="80">
        <f>F35-F36-F37-F38</f>
        <v>7169450</v>
      </c>
      <c r="G39" s="80">
        <f>G35-G36-G37-G38</f>
        <v>9774450</v>
      </c>
      <c r="H39" s="80">
        <f>H35-H36-H37-H38</f>
        <v>9974450</v>
      </c>
      <c r="I39" s="80">
        <f>I35-I36-I37-I38</f>
        <v>8343650</v>
      </c>
      <c r="J39" s="22"/>
    </row>
    <row r="40" spans="2:13" ht="15.75" customHeight="1" x14ac:dyDescent="0.2">
      <c r="B40" s="70"/>
      <c r="C40" s="19" t="s">
        <v>79</v>
      </c>
      <c r="D40" s="137"/>
      <c r="E40" s="82">
        <f>E39*$D$19</f>
        <v>2771457.5</v>
      </c>
      <c r="F40" s="82">
        <f>F39*$D$19</f>
        <v>2509307.5</v>
      </c>
      <c r="G40" s="82">
        <f>G39*$D$19</f>
        <v>3421057.5</v>
      </c>
      <c r="H40" s="82">
        <f>H39*$D$19</f>
        <v>3491057.5</v>
      </c>
      <c r="I40" s="82">
        <f>I39*$D$19</f>
        <v>2920277.5</v>
      </c>
      <c r="J40" s="22"/>
    </row>
    <row r="41" spans="2:13" ht="15.75" customHeight="1" x14ac:dyDescent="0.2">
      <c r="B41" s="70"/>
      <c r="C41" s="19" t="s">
        <v>115</v>
      </c>
      <c r="D41" s="137"/>
      <c r="E41" s="80">
        <f>E39-E40</f>
        <v>5146992.5</v>
      </c>
      <c r="F41" s="80">
        <f>F39-F40</f>
        <v>4660142.5</v>
      </c>
      <c r="G41" s="80">
        <f>G39-G40</f>
        <v>6353392.5</v>
      </c>
      <c r="H41" s="80">
        <f>H39-H40</f>
        <v>6483392.5</v>
      </c>
      <c r="I41" s="80">
        <f>I39-I40</f>
        <v>5423372.5</v>
      </c>
      <c r="J41" s="22"/>
    </row>
    <row r="42" spans="2:13" ht="15.75" customHeight="1" x14ac:dyDescent="0.2">
      <c r="B42" s="70"/>
      <c r="C42" s="19" t="s">
        <v>5</v>
      </c>
      <c r="D42" s="137"/>
      <c r="E42" s="80">
        <f>E38</f>
        <v>2786550</v>
      </c>
      <c r="F42" s="80">
        <f>F38</f>
        <v>4775550</v>
      </c>
      <c r="G42" s="80">
        <f>G38</f>
        <v>3410550</v>
      </c>
      <c r="H42" s="80">
        <f>H38</f>
        <v>2435550</v>
      </c>
      <c r="I42" s="80">
        <f>I38</f>
        <v>1741350</v>
      </c>
      <c r="J42" s="22"/>
    </row>
    <row r="43" spans="2:13" ht="15.75" customHeight="1" thickBot="1" x14ac:dyDescent="0.25">
      <c r="B43" s="70"/>
      <c r="C43" s="19" t="s">
        <v>116</v>
      </c>
      <c r="D43" s="137"/>
      <c r="E43" s="126">
        <f>E41+E42</f>
        <v>7933542.5</v>
      </c>
      <c r="F43" s="126">
        <f>F41+F42</f>
        <v>9435692.5</v>
      </c>
      <c r="G43" s="126">
        <f>G41+G42</f>
        <v>9763942.5</v>
      </c>
      <c r="H43" s="126">
        <f>H41+H42</f>
        <v>8918942.5</v>
      </c>
      <c r="I43" s="126">
        <f>I41+I42</f>
        <v>7164722.5</v>
      </c>
      <c r="J43" s="22"/>
    </row>
    <row r="44" spans="2:13" ht="15.75" customHeight="1" thickTop="1" x14ac:dyDescent="0.2">
      <c r="B44" s="70"/>
      <c r="C44" s="19"/>
      <c r="D44" s="137"/>
      <c r="E44" s="79"/>
      <c r="F44" s="79"/>
      <c r="G44" s="79"/>
      <c r="H44" s="79"/>
      <c r="I44" s="79"/>
      <c r="J44" s="22"/>
    </row>
    <row r="45" spans="2:13" ht="15.75" customHeight="1" x14ac:dyDescent="0.2">
      <c r="B45" s="70"/>
      <c r="C45" s="158" t="s">
        <v>117</v>
      </c>
      <c r="D45" s="141"/>
      <c r="E45" s="141"/>
      <c r="F45" s="141"/>
      <c r="G45" s="141"/>
      <c r="H45" s="141"/>
      <c r="I45" s="141"/>
      <c r="J45" s="22"/>
      <c r="K45" s="30"/>
      <c r="L45" s="30"/>
      <c r="M45" s="30"/>
    </row>
    <row r="46" spans="2:13" ht="15.75" customHeight="1" x14ac:dyDescent="0.2">
      <c r="B46" s="70"/>
      <c r="C46" s="19" t="s">
        <v>116</v>
      </c>
      <c r="D46" s="96"/>
      <c r="E46" s="96">
        <f>E43</f>
        <v>7933542.5</v>
      </c>
      <c r="F46" s="96">
        <f>F43</f>
        <v>9435692.5</v>
      </c>
      <c r="G46" s="96">
        <f>G43</f>
        <v>9763942.5</v>
      </c>
      <c r="H46" s="96">
        <f>H43</f>
        <v>8918942.5</v>
      </c>
      <c r="I46" s="96">
        <f>I43</f>
        <v>7164722.5</v>
      </c>
      <c r="J46" s="22"/>
      <c r="K46" s="30"/>
      <c r="L46" s="30"/>
      <c r="M46" s="30"/>
    </row>
    <row r="47" spans="2:13" ht="15.75" customHeight="1" x14ac:dyDescent="0.2">
      <c r="B47" s="70"/>
      <c r="C47" s="19" t="s">
        <v>118</v>
      </c>
      <c r="D47" s="96">
        <f>-D12</f>
        <v>-1500000</v>
      </c>
      <c r="E47" s="139">
        <f>$D$13*(E35-F35)</f>
        <v>-414000</v>
      </c>
      <c r="F47" s="139">
        <f>$D$13*(F35-G35)</f>
        <v>-414000</v>
      </c>
      <c r="G47" s="139">
        <f>$D$13*(G35-H35)</f>
        <v>258750</v>
      </c>
      <c r="H47" s="139">
        <f>$D$13*(H35-I35)</f>
        <v>776250</v>
      </c>
      <c r="I47" s="139">
        <f>-(D47+E47+F47+G47+H47)</f>
        <v>1293000</v>
      </c>
      <c r="J47" s="22"/>
      <c r="K47" s="30"/>
      <c r="L47" s="30"/>
      <c r="M47" s="30"/>
    </row>
    <row r="48" spans="2:13" ht="15.75" customHeight="1" x14ac:dyDescent="0.2">
      <c r="B48" s="70"/>
      <c r="C48" s="19" t="s">
        <v>119</v>
      </c>
      <c r="D48" s="139">
        <f>-D17</f>
        <v>-19500000</v>
      </c>
      <c r="E48" s="139">
        <v>0</v>
      </c>
      <c r="F48" s="139">
        <v>0</v>
      </c>
      <c r="G48" s="139">
        <v>0</v>
      </c>
      <c r="H48" s="139">
        <v>0</v>
      </c>
      <c r="I48" s="139">
        <f>(D17*D18)+((I33-(D17*D18))*D19)</f>
        <v>4057657.5</v>
      </c>
      <c r="J48" s="22"/>
      <c r="K48" s="30"/>
      <c r="L48" s="30"/>
      <c r="M48" s="30"/>
    </row>
    <row r="49" spans="2:13" ht="15.75" customHeight="1" thickBot="1" x14ac:dyDescent="0.25">
      <c r="B49" s="70"/>
      <c r="C49" s="19" t="s">
        <v>120</v>
      </c>
      <c r="D49" s="159">
        <f t="shared" ref="D49:I49" si="0">D46+D47+D48</f>
        <v>-21000000</v>
      </c>
      <c r="E49" s="160">
        <f t="shared" si="0"/>
        <v>7519542.5</v>
      </c>
      <c r="F49" s="160">
        <f t="shared" si="0"/>
        <v>9021692.5</v>
      </c>
      <c r="G49" s="160">
        <f t="shared" si="0"/>
        <v>10022692.5</v>
      </c>
      <c r="H49" s="160">
        <f t="shared" si="0"/>
        <v>9695192.5</v>
      </c>
      <c r="I49" s="160">
        <f t="shared" si="0"/>
        <v>12515380</v>
      </c>
      <c r="J49" s="22"/>
      <c r="K49" s="30"/>
      <c r="L49" s="30"/>
      <c r="M49" s="30"/>
    </row>
    <row r="50" spans="2:13" ht="15.75" customHeight="1" thickTop="1" x14ac:dyDescent="0.2">
      <c r="B50" s="70"/>
      <c r="C50" s="19"/>
      <c r="D50" s="141"/>
      <c r="E50" s="141"/>
      <c r="F50" s="141"/>
      <c r="G50" s="141"/>
      <c r="H50" s="141"/>
      <c r="I50" s="141"/>
      <c r="J50" s="22"/>
      <c r="K50" s="30"/>
      <c r="L50" s="30"/>
      <c r="M50" s="30"/>
    </row>
    <row r="51" spans="2:13" ht="15.75" customHeight="1" x14ac:dyDescent="0.25">
      <c r="B51" s="70"/>
      <c r="C51" s="19" t="s">
        <v>121</v>
      </c>
      <c r="D51" s="138">
        <f>NPV(D20,E49:I49)+D49</f>
        <v>8423113.1871185377</v>
      </c>
      <c r="E51" s="147"/>
      <c r="F51" s="147"/>
      <c r="G51" s="147"/>
      <c r="H51" s="147"/>
      <c r="I51" s="147"/>
      <c r="J51" s="22"/>
      <c r="K51" s="30"/>
      <c r="L51" s="30"/>
      <c r="M51" s="30"/>
    </row>
    <row r="52" spans="2:13" ht="15.75" customHeight="1" x14ac:dyDescent="0.25">
      <c r="B52" s="70"/>
      <c r="C52" s="19" t="s">
        <v>122</v>
      </c>
      <c r="D52" s="162">
        <f>IRR(D49:I49)</f>
        <v>0.33286027395876849</v>
      </c>
      <c r="E52" s="147"/>
      <c r="F52" s="147"/>
      <c r="G52" s="147"/>
      <c r="H52" s="147"/>
      <c r="I52" s="147"/>
      <c r="J52" s="22"/>
      <c r="K52" s="30"/>
      <c r="L52" s="30"/>
      <c r="M52" s="30"/>
    </row>
    <row r="53" spans="2:13" ht="15.75" customHeight="1" thickBot="1" x14ac:dyDescent="0.25">
      <c r="B53" s="71"/>
      <c r="C53" s="53"/>
      <c r="D53" s="53"/>
      <c r="E53" s="53"/>
      <c r="F53" s="53"/>
      <c r="G53" s="53"/>
      <c r="H53" s="53"/>
      <c r="I53" s="53"/>
      <c r="J53" s="51"/>
      <c r="K53" s="30"/>
      <c r="L53" s="30"/>
      <c r="M53" s="30"/>
    </row>
    <row r="54" spans="2:13" ht="15.75" customHeight="1" x14ac:dyDescent="0.2">
      <c r="B54" s="14"/>
      <c r="J54" s="14"/>
      <c r="K54" s="14"/>
      <c r="L54" s="14"/>
      <c r="M54" s="14"/>
    </row>
    <row r="55" spans="2:13" ht="15.75" customHeight="1" x14ac:dyDescent="0.2">
      <c r="D55" s="26"/>
      <c r="E55" s="26"/>
      <c r="F55" s="26"/>
      <c r="G55" s="26"/>
      <c r="H55" s="26"/>
      <c r="I55" s="26"/>
    </row>
    <row r="56" spans="2:13" ht="15.75" customHeight="1" x14ac:dyDescent="0.2"/>
    <row r="57" spans="2:13" ht="15.75" customHeight="1" x14ac:dyDescent="0.2"/>
    <row r="58" spans="2:13" ht="15.75" customHeight="1" x14ac:dyDescent="0.2"/>
    <row r="59" spans="2:13" ht="15.75" customHeight="1" x14ac:dyDescent="0.2"/>
    <row r="60" spans="2:13" ht="15.75" customHeight="1" x14ac:dyDescent="0.2"/>
    <row r="61" spans="2:13" ht="15.75" customHeight="1" x14ac:dyDescent="0.2"/>
    <row r="62" spans="2:13" ht="15.75" customHeight="1" x14ac:dyDescent="0.2"/>
    <row r="63" spans="2:13" ht="15.75" customHeight="1" x14ac:dyDescent="0.2"/>
    <row r="64" spans="2:1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</sheetData>
  <phoneticPr fontId="0" type="noConversion"/>
  <pageMargins left="0.75" right="0.75" top="1" bottom="1" header="0.5" footer="0.5"/>
  <pageSetup scale="56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8" width="15.140625" customWidth="1"/>
    <col min="9" max="9" width="3.140625" customWidth="1"/>
    <col min="12" max="12" width="3.140625" customWidth="1"/>
  </cols>
  <sheetData>
    <row r="1" spans="2:11" ht="18" customHeight="1" x14ac:dyDescent="0.25">
      <c r="C1" s="1" t="s">
        <v>434</v>
      </c>
      <c r="D1" s="1"/>
      <c r="E1" s="1"/>
      <c r="F1" s="1"/>
      <c r="G1" s="1"/>
    </row>
    <row r="2" spans="2:11" ht="15.75" customHeight="1" x14ac:dyDescent="0.2">
      <c r="C2" s="3" t="s">
        <v>3</v>
      </c>
      <c r="D2" s="3"/>
      <c r="E2" s="3"/>
      <c r="F2" s="3"/>
      <c r="G2" s="3"/>
    </row>
    <row r="3" spans="2:11" ht="15.75" customHeight="1" x14ac:dyDescent="0.2"/>
    <row r="4" spans="2:11" ht="15.75" customHeight="1" x14ac:dyDescent="0.2">
      <c r="C4" s="2" t="s">
        <v>1</v>
      </c>
      <c r="D4" s="2"/>
      <c r="E4" s="2"/>
      <c r="F4" s="2"/>
      <c r="G4" s="2"/>
    </row>
    <row r="5" spans="2:11" ht="15.75" customHeight="1" thickBot="1" x14ac:dyDescent="0.25"/>
    <row r="6" spans="2:11" ht="15.75" customHeight="1" x14ac:dyDescent="0.2">
      <c r="B6" s="5"/>
      <c r="C6" s="6"/>
      <c r="D6" s="6"/>
      <c r="E6" s="6"/>
      <c r="F6" s="6"/>
      <c r="G6" s="6"/>
      <c r="H6" s="6"/>
      <c r="I6" s="7"/>
    </row>
    <row r="7" spans="2:11" ht="15.75" customHeight="1" x14ac:dyDescent="0.2">
      <c r="B7" s="8"/>
      <c r="C7" s="13"/>
      <c r="D7" s="227" t="s">
        <v>180</v>
      </c>
      <c r="E7" s="227" t="s">
        <v>181</v>
      </c>
      <c r="F7" s="227" t="s">
        <v>182</v>
      </c>
      <c r="G7" s="227" t="s">
        <v>183</v>
      </c>
      <c r="H7" s="228" t="s">
        <v>184</v>
      </c>
      <c r="I7" s="9"/>
      <c r="K7" s="57"/>
    </row>
    <row r="8" spans="2:11" ht="15.75" customHeight="1" x14ac:dyDescent="0.2">
      <c r="B8" s="8"/>
      <c r="C8" s="13" t="s">
        <v>185</v>
      </c>
      <c r="D8" s="84">
        <v>27400</v>
      </c>
      <c r="E8" s="90">
        <v>0</v>
      </c>
      <c r="F8" s="90">
        <v>0</v>
      </c>
      <c r="G8" s="90">
        <v>0</v>
      </c>
      <c r="H8" s="90"/>
      <c r="I8" s="9"/>
      <c r="K8" s="57"/>
    </row>
    <row r="9" spans="2:11" ht="15.75" customHeight="1" x14ac:dyDescent="0.2">
      <c r="B9" s="8"/>
      <c r="C9" s="13" t="s">
        <v>186</v>
      </c>
      <c r="D9" s="230"/>
      <c r="E9" s="84">
        <v>12900</v>
      </c>
      <c r="F9" s="84">
        <v>14000</v>
      </c>
      <c r="G9" s="84">
        <v>15200</v>
      </c>
      <c r="H9" s="84">
        <v>11200</v>
      </c>
      <c r="I9" s="9"/>
      <c r="K9" s="57"/>
    </row>
    <row r="10" spans="2:11" ht="15.75" customHeight="1" x14ac:dyDescent="0.2">
      <c r="B10" s="8"/>
      <c r="C10" s="13" t="s">
        <v>187</v>
      </c>
      <c r="D10" s="230"/>
      <c r="E10" s="90">
        <v>2700</v>
      </c>
      <c r="F10" s="90">
        <v>2800</v>
      </c>
      <c r="G10" s="90">
        <v>2900</v>
      </c>
      <c r="H10" s="90">
        <v>2100</v>
      </c>
      <c r="I10" s="9"/>
    </row>
    <row r="11" spans="2:11" ht="15.75" customHeight="1" x14ac:dyDescent="0.2">
      <c r="B11" s="8"/>
      <c r="C11" s="13" t="s">
        <v>5</v>
      </c>
      <c r="D11" s="230"/>
      <c r="E11" s="350">
        <f>$D$8/4</f>
        <v>6850</v>
      </c>
      <c r="F11" s="350">
        <f t="shared" ref="F11:H11" si="0">$D$8/4</f>
        <v>6850</v>
      </c>
      <c r="G11" s="350">
        <f t="shared" si="0"/>
        <v>6850</v>
      </c>
      <c r="H11" s="350">
        <f t="shared" si="0"/>
        <v>6850</v>
      </c>
      <c r="I11" s="9"/>
    </row>
    <row r="12" spans="2:11" ht="15.75" customHeight="1" x14ac:dyDescent="0.2">
      <c r="B12" s="8"/>
      <c r="C12" s="13" t="s">
        <v>91</v>
      </c>
      <c r="D12" s="90">
        <v>300</v>
      </c>
      <c r="E12" s="90">
        <v>200</v>
      </c>
      <c r="F12" s="90">
        <v>225</v>
      </c>
      <c r="G12" s="90">
        <v>150</v>
      </c>
      <c r="H12" s="229" t="s">
        <v>188</v>
      </c>
      <c r="I12" s="9"/>
    </row>
    <row r="13" spans="2:11" ht="15.75" customHeight="1" x14ac:dyDescent="0.2">
      <c r="B13" s="8"/>
      <c r="C13" s="13"/>
      <c r="D13" s="13"/>
      <c r="E13" s="13"/>
      <c r="F13" s="13"/>
      <c r="G13" s="13"/>
      <c r="H13" s="84"/>
      <c r="I13" s="9"/>
    </row>
    <row r="14" spans="2:11" ht="15.75" customHeight="1" x14ac:dyDescent="0.2">
      <c r="B14" s="8"/>
      <c r="C14" s="13" t="s">
        <v>6</v>
      </c>
      <c r="D14" s="83">
        <v>0.34</v>
      </c>
      <c r="E14" s="13"/>
      <c r="F14" s="13"/>
      <c r="G14" s="13"/>
      <c r="H14" s="83"/>
      <c r="I14" s="9"/>
    </row>
    <row r="15" spans="2:11" ht="15.75" customHeight="1" x14ac:dyDescent="0.2">
      <c r="B15" s="8"/>
      <c r="C15" s="13" t="s">
        <v>20</v>
      </c>
      <c r="D15" s="83">
        <v>0.12</v>
      </c>
      <c r="E15" s="13"/>
      <c r="F15" s="13"/>
      <c r="G15" s="13"/>
      <c r="H15" s="83"/>
      <c r="I15" s="9"/>
    </row>
    <row r="16" spans="2:11" ht="15.75" customHeight="1" thickBot="1" x14ac:dyDescent="0.25">
      <c r="B16" s="10"/>
      <c r="C16" s="11"/>
      <c r="D16" s="11"/>
      <c r="E16" s="11"/>
      <c r="F16" s="11"/>
      <c r="G16" s="11"/>
      <c r="H16" s="11"/>
      <c r="I16" s="12"/>
    </row>
    <row r="17" spans="2:12" ht="15.75" customHeight="1" x14ac:dyDescent="0.2"/>
    <row r="18" spans="2:12" ht="15.75" customHeight="1" x14ac:dyDescent="0.2">
      <c r="C18" s="2" t="s">
        <v>2</v>
      </c>
      <c r="D18" s="2"/>
      <c r="E18" s="2"/>
      <c r="F18" s="2"/>
      <c r="G18" s="2"/>
    </row>
    <row r="19" spans="2:12" ht="15.75" customHeight="1" thickBot="1" x14ac:dyDescent="0.25"/>
    <row r="20" spans="2:12" ht="15.75" customHeight="1" x14ac:dyDescent="0.2">
      <c r="B20" s="15"/>
      <c r="C20" s="16"/>
      <c r="D20" s="16"/>
      <c r="E20" s="16"/>
      <c r="F20" s="16"/>
      <c r="G20" s="16"/>
      <c r="H20" s="16"/>
      <c r="I20" s="17"/>
      <c r="J20" s="30"/>
      <c r="K20" s="30"/>
      <c r="L20" s="30"/>
    </row>
    <row r="21" spans="2:12" ht="15.75" customHeight="1" x14ac:dyDescent="0.2">
      <c r="B21" s="18"/>
      <c r="C21" s="19" t="s">
        <v>10</v>
      </c>
      <c r="D21" s="19"/>
      <c r="E21" s="79">
        <f t="shared" ref="E21:H23" si="1">E9</f>
        <v>12900</v>
      </c>
      <c r="F21" s="79">
        <f t="shared" si="1"/>
        <v>14000</v>
      </c>
      <c r="G21" s="79">
        <f t="shared" si="1"/>
        <v>15200</v>
      </c>
      <c r="H21" s="79">
        <f t="shared" si="1"/>
        <v>11200</v>
      </c>
      <c r="I21" s="21"/>
      <c r="J21" s="30"/>
      <c r="K21" s="30"/>
      <c r="L21" s="30"/>
    </row>
    <row r="22" spans="2:12" ht="15.75" customHeight="1" x14ac:dyDescent="0.2">
      <c r="B22" s="18"/>
      <c r="C22" s="19" t="s">
        <v>14</v>
      </c>
      <c r="D22" s="19"/>
      <c r="E22" s="80">
        <f t="shared" si="1"/>
        <v>2700</v>
      </c>
      <c r="F22" s="80">
        <f t="shared" si="1"/>
        <v>2800</v>
      </c>
      <c r="G22" s="80">
        <f t="shared" si="1"/>
        <v>2900</v>
      </c>
      <c r="H22" s="80">
        <f t="shared" si="1"/>
        <v>2100</v>
      </c>
      <c r="I22" s="22"/>
      <c r="J22" s="30"/>
      <c r="K22" s="30"/>
      <c r="L22" s="31"/>
    </row>
    <row r="23" spans="2:12" ht="15.75" customHeight="1" x14ac:dyDescent="0.2">
      <c r="B23" s="18"/>
      <c r="C23" s="19" t="s">
        <v>5</v>
      </c>
      <c r="D23" s="19"/>
      <c r="E23" s="82">
        <f t="shared" si="1"/>
        <v>6850</v>
      </c>
      <c r="F23" s="82">
        <f t="shared" si="1"/>
        <v>6850</v>
      </c>
      <c r="G23" s="82">
        <f t="shared" si="1"/>
        <v>6850</v>
      </c>
      <c r="H23" s="82">
        <f t="shared" si="1"/>
        <v>6850</v>
      </c>
      <c r="I23" s="21"/>
      <c r="J23" s="30"/>
      <c r="K23" s="30"/>
      <c r="L23" s="30"/>
    </row>
    <row r="24" spans="2:12" ht="15.75" customHeight="1" x14ac:dyDescent="0.2">
      <c r="B24" s="18"/>
      <c r="C24" s="19" t="s">
        <v>8</v>
      </c>
      <c r="D24" s="19"/>
      <c r="E24" s="79">
        <f>E21-E22-E23</f>
        <v>3350</v>
      </c>
      <c r="F24" s="79">
        <f>F21-F22-F23</f>
        <v>4350</v>
      </c>
      <c r="G24" s="79">
        <f>G21-G22-G23</f>
        <v>5450</v>
      </c>
      <c r="H24" s="79">
        <f>H21-H22-H23</f>
        <v>2250</v>
      </c>
      <c r="I24" s="21"/>
      <c r="J24" s="30"/>
      <c r="K24" s="30"/>
      <c r="L24" s="30"/>
    </row>
    <row r="25" spans="2:12" ht="15.75" customHeight="1" x14ac:dyDescent="0.2">
      <c r="B25" s="18"/>
      <c r="C25" s="225" t="s">
        <v>155</v>
      </c>
      <c r="D25" s="225"/>
      <c r="E25" s="231">
        <f>E24*$D$14</f>
        <v>1139</v>
      </c>
      <c r="F25" s="231">
        <f>F24*$D$14</f>
        <v>1479</v>
      </c>
      <c r="G25" s="231">
        <f>G24*$D$14</f>
        <v>1853.0000000000002</v>
      </c>
      <c r="H25" s="231">
        <f>H24*$D$14</f>
        <v>765</v>
      </c>
      <c r="I25" s="21"/>
      <c r="J25" s="30"/>
      <c r="K25" s="30"/>
      <c r="L25" s="30"/>
    </row>
    <row r="26" spans="2:12" ht="15.75" customHeight="1" thickBot="1" x14ac:dyDescent="0.25">
      <c r="B26" s="18"/>
      <c r="C26" s="19" t="s">
        <v>115</v>
      </c>
      <c r="D26" s="19"/>
      <c r="E26" s="126">
        <f>E24-E25</f>
        <v>2211</v>
      </c>
      <c r="F26" s="126">
        <f>F24-F25</f>
        <v>2871</v>
      </c>
      <c r="G26" s="126">
        <f>G24-G25</f>
        <v>3597</v>
      </c>
      <c r="H26" s="126">
        <f>H24-H25</f>
        <v>1485</v>
      </c>
      <c r="I26" s="21"/>
      <c r="J26" s="30"/>
      <c r="K26" s="30"/>
      <c r="L26" s="30"/>
    </row>
    <row r="27" spans="2:12" ht="15.75" customHeight="1" thickTop="1" x14ac:dyDescent="0.2">
      <c r="B27" s="18"/>
      <c r="C27" s="19"/>
      <c r="D27" s="19"/>
      <c r="E27" s="19"/>
      <c r="F27" s="19"/>
      <c r="G27" s="19"/>
      <c r="H27" s="96"/>
      <c r="I27" s="21"/>
      <c r="J27" s="30"/>
      <c r="K27" s="30"/>
      <c r="L27" s="30"/>
    </row>
    <row r="28" spans="2:12" ht="15.75" customHeight="1" x14ac:dyDescent="0.2">
      <c r="B28" s="18"/>
      <c r="C28" s="19" t="s">
        <v>11</v>
      </c>
      <c r="D28" s="232">
        <v>0</v>
      </c>
      <c r="E28" s="79">
        <f>E26+E23</f>
        <v>9061</v>
      </c>
      <c r="F28" s="79">
        <f>F26+F23</f>
        <v>9721</v>
      </c>
      <c r="G28" s="79">
        <f>G26+G23</f>
        <v>10447</v>
      </c>
      <c r="H28" s="79">
        <f>H26+H23</f>
        <v>8335</v>
      </c>
      <c r="I28" s="21"/>
      <c r="J28" s="30"/>
      <c r="K28" s="30"/>
      <c r="L28" s="30"/>
    </row>
    <row r="29" spans="2:12" ht="15.75" customHeight="1" x14ac:dyDescent="0.2">
      <c r="B29" s="18"/>
      <c r="C29" s="19" t="s">
        <v>119</v>
      </c>
      <c r="D29" s="79">
        <f>-D8</f>
        <v>-27400</v>
      </c>
      <c r="E29" s="80">
        <v>0</v>
      </c>
      <c r="F29" s="80">
        <v>0</v>
      </c>
      <c r="G29" s="80">
        <v>0</v>
      </c>
      <c r="H29" s="80">
        <v>0</v>
      </c>
      <c r="I29" s="21"/>
      <c r="J29" s="30"/>
      <c r="K29" s="30"/>
      <c r="L29" s="30"/>
    </row>
    <row r="30" spans="2:12" ht="15.75" customHeight="1" x14ac:dyDescent="0.2">
      <c r="B30" s="18"/>
      <c r="C30" s="19" t="s">
        <v>189</v>
      </c>
      <c r="D30" s="82">
        <f>-D12</f>
        <v>-300</v>
      </c>
      <c r="E30" s="82">
        <f>-E12</f>
        <v>-200</v>
      </c>
      <c r="F30" s="82">
        <f>-F12</f>
        <v>-225</v>
      </c>
      <c r="G30" s="82">
        <f>-G12</f>
        <v>-150</v>
      </c>
      <c r="H30" s="82">
        <f>-(D30+E30+F30+G30)</f>
        <v>875</v>
      </c>
      <c r="I30" s="21"/>
      <c r="J30" s="30"/>
      <c r="K30" s="30"/>
      <c r="L30" s="30"/>
    </row>
    <row r="31" spans="2:12" ht="15.75" customHeight="1" x14ac:dyDescent="0.2">
      <c r="B31" s="18"/>
      <c r="C31" s="19" t="s">
        <v>190</v>
      </c>
      <c r="D31" s="79">
        <f>D28+D29+D30</f>
        <v>-27700</v>
      </c>
      <c r="E31" s="79">
        <f>E28+E29+E30</f>
        <v>8861</v>
      </c>
      <c r="F31" s="79">
        <f>F28+F29+F30</f>
        <v>9496</v>
      </c>
      <c r="G31" s="79">
        <f>G28+G29+G30</f>
        <v>10297</v>
      </c>
      <c r="H31" s="79">
        <f>H28+H29+H30</f>
        <v>9210</v>
      </c>
      <c r="I31" s="21"/>
      <c r="J31" s="30"/>
      <c r="K31" s="30"/>
      <c r="L31" s="30"/>
    </row>
    <row r="32" spans="2:12" ht="15.75" customHeight="1" x14ac:dyDescent="0.2">
      <c r="B32" s="18"/>
      <c r="C32" s="19"/>
      <c r="D32" s="19"/>
      <c r="E32" s="78"/>
      <c r="F32" s="78"/>
      <c r="G32" s="78"/>
      <c r="H32" s="78"/>
      <c r="I32" s="21"/>
      <c r="J32" s="30"/>
      <c r="K32" s="30"/>
      <c r="L32" s="30"/>
    </row>
    <row r="33" spans="2:12" ht="15.75" customHeight="1" x14ac:dyDescent="0.25">
      <c r="B33" s="18"/>
      <c r="C33" s="19" t="s">
        <v>21</v>
      </c>
      <c r="D33" s="171">
        <f>D31+NPV(D15,E31:H31)</f>
        <v>964.08291792481759</v>
      </c>
      <c r="E33" s="19"/>
      <c r="F33" s="19"/>
      <c r="G33" s="19"/>
      <c r="H33" s="233"/>
      <c r="I33" s="21"/>
      <c r="J33" s="30"/>
      <c r="K33" s="30"/>
      <c r="L33" s="30"/>
    </row>
    <row r="34" spans="2:12" ht="15.75" customHeight="1" thickBot="1" x14ac:dyDescent="0.25">
      <c r="B34" s="23"/>
      <c r="C34" s="53"/>
      <c r="D34" s="53"/>
      <c r="E34" s="53"/>
      <c r="F34" s="53"/>
      <c r="G34" s="53"/>
      <c r="H34" s="53"/>
      <c r="I34" s="25"/>
      <c r="J34" s="30"/>
      <c r="K34" s="30"/>
      <c r="L34" s="30"/>
    </row>
    <row r="35" spans="2:12" ht="15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 ht="15.75" customHeight="1" x14ac:dyDescent="0.2"/>
    <row r="37" spans="2:12" ht="15.75" customHeight="1" x14ac:dyDescent="0.2">
      <c r="H37" s="26"/>
    </row>
    <row r="38" spans="2:12" ht="15.75" customHeight="1" x14ac:dyDescent="0.2"/>
    <row r="39" spans="2:12" ht="15.75" customHeight="1" x14ac:dyDescent="0.2"/>
    <row r="40" spans="2:12" ht="15.75" customHeight="1" x14ac:dyDescent="0.2"/>
    <row r="41" spans="2:12" ht="15.75" customHeight="1" x14ac:dyDescent="0.2"/>
  </sheetData>
  <phoneticPr fontId="0" type="noConversion"/>
  <pageMargins left="0.75" right="0.75" top="1" bottom="1" header="0.5" footer="0.5"/>
  <pageSetup scale="76" orientation="portrait" horizontalDpi="360" verticalDpi="36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9.42578125" customWidth="1"/>
    <col min="5" max="5" width="3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162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125</v>
      </c>
      <c r="D7" s="84">
        <v>710000</v>
      </c>
      <c r="E7" s="9"/>
      <c r="G7" s="57"/>
    </row>
    <row r="8" spans="2:7" ht="15.75" customHeight="1" x14ac:dyDescent="0.2">
      <c r="B8" s="8"/>
      <c r="C8" s="13" t="s">
        <v>72</v>
      </c>
      <c r="D8" s="84">
        <v>65000</v>
      </c>
      <c r="E8" s="9"/>
    </row>
    <row r="9" spans="2:7" ht="15.75" customHeight="1" x14ac:dyDescent="0.2">
      <c r="B9" s="8"/>
      <c r="C9" s="13" t="s">
        <v>6</v>
      </c>
      <c r="D9" s="83">
        <v>0.35</v>
      </c>
      <c r="E9" s="9"/>
    </row>
    <row r="10" spans="2:7" ht="15.75" customHeight="1" x14ac:dyDescent="0.2">
      <c r="B10" s="8"/>
      <c r="C10" s="13" t="s">
        <v>20</v>
      </c>
      <c r="D10" s="83">
        <v>0.12</v>
      </c>
      <c r="E10" s="9"/>
    </row>
    <row r="11" spans="2:7" ht="15.75" customHeight="1" x14ac:dyDescent="0.2">
      <c r="B11" s="8"/>
      <c r="C11" s="13" t="s">
        <v>51</v>
      </c>
      <c r="D11" s="84">
        <v>60000</v>
      </c>
      <c r="E11" s="9"/>
    </row>
    <row r="12" spans="2:7" ht="15.75" customHeight="1" x14ac:dyDescent="0.2">
      <c r="B12" s="8"/>
      <c r="C12" s="13" t="s">
        <v>15</v>
      </c>
      <c r="D12" s="347">
        <v>0.33329999999999999</v>
      </c>
      <c r="E12" s="9"/>
    </row>
    <row r="13" spans="2:7" ht="15.75" customHeight="1" x14ac:dyDescent="0.2">
      <c r="B13" s="8"/>
      <c r="C13" s="13"/>
      <c r="D13" s="347">
        <v>0.44450000000000001</v>
      </c>
      <c r="E13" s="9"/>
    </row>
    <row r="14" spans="2:7" ht="15.75" customHeight="1" x14ac:dyDescent="0.2">
      <c r="B14" s="8"/>
      <c r="C14" s="13"/>
      <c r="D14" s="347">
        <v>0.14810000000000001</v>
      </c>
      <c r="E14" s="9"/>
    </row>
    <row r="15" spans="2:7" ht="15.75" customHeight="1" x14ac:dyDescent="0.2">
      <c r="B15" s="8"/>
      <c r="C15" s="13"/>
      <c r="D15" s="347">
        <v>7.4099999999999999E-2</v>
      </c>
      <c r="E15" s="9"/>
    </row>
    <row r="16" spans="2:7" ht="15.75" customHeight="1" thickBot="1" x14ac:dyDescent="0.25">
      <c r="B16" s="10"/>
      <c r="C16" s="65"/>
      <c r="D16" s="65"/>
      <c r="E16" s="12"/>
    </row>
    <row r="17" spans="2:8" ht="15.75" customHeight="1" x14ac:dyDescent="0.2">
      <c r="B17" s="64"/>
      <c r="E17" s="64"/>
    </row>
    <row r="18" spans="2:8" ht="15.75" customHeight="1" x14ac:dyDescent="0.2">
      <c r="C18" s="2" t="s">
        <v>2</v>
      </c>
    </row>
    <row r="19" spans="2:8" ht="15.75" customHeight="1" thickBot="1" x14ac:dyDescent="0.25"/>
    <row r="20" spans="2:8" ht="15.75" customHeight="1" x14ac:dyDescent="0.2">
      <c r="B20" s="15"/>
      <c r="C20" s="16"/>
      <c r="D20" s="16"/>
      <c r="E20" s="17"/>
    </row>
    <row r="21" spans="2:8" ht="15.75" customHeight="1" x14ac:dyDescent="0.2">
      <c r="B21" s="18"/>
      <c r="C21" s="19" t="s">
        <v>28</v>
      </c>
      <c r="D21" s="141">
        <f>D11*(1-D9)</f>
        <v>39000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440</v>
      </c>
      <c r="D22" s="141">
        <f>$D$7*D12</f>
        <v>236643</v>
      </c>
      <c r="E22" s="21"/>
      <c r="F22" s="30"/>
      <c r="G22" s="30"/>
      <c r="H22" s="30"/>
    </row>
    <row r="23" spans="2:8" ht="15.75" customHeight="1" x14ac:dyDescent="0.2">
      <c r="B23" s="18"/>
      <c r="C23" s="19" t="s">
        <v>441</v>
      </c>
      <c r="D23" s="141">
        <f t="shared" ref="D23:D25" si="0">$D$7*D13</f>
        <v>315595</v>
      </c>
      <c r="E23" s="21"/>
      <c r="F23" s="30"/>
      <c r="G23" s="30"/>
      <c r="H23" s="30"/>
    </row>
    <row r="24" spans="2:8" ht="15.75" customHeight="1" x14ac:dyDescent="0.2">
      <c r="B24" s="18"/>
      <c r="C24" s="19" t="s">
        <v>442</v>
      </c>
      <c r="D24" s="141">
        <f t="shared" si="0"/>
        <v>105151</v>
      </c>
      <c r="E24" s="21"/>
      <c r="F24" s="30"/>
      <c r="G24" s="30"/>
      <c r="H24" s="30"/>
    </row>
    <row r="25" spans="2:8" ht="15.75" customHeight="1" x14ac:dyDescent="0.2">
      <c r="B25" s="18"/>
      <c r="C25" s="19" t="s">
        <v>443</v>
      </c>
      <c r="D25" s="141">
        <f t="shared" si="0"/>
        <v>52611</v>
      </c>
      <c r="E25" s="21"/>
      <c r="F25" s="30"/>
      <c r="G25" s="30"/>
      <c r="H25" s="30"/>
    </row>
    <row r="26" spans="2:8" ht="15.75" customHeight="1" x14ac:dyDescent="0.2">
      <c r="B26" s="18"/>
      <c r="C26" s="19" t="s">
        <v>158</v>
      </c>
      <c r="D26" s="141">
        <f>$D$9*($D$7*D12)</f>
        <v>82825.049999999988</v>
      </c>
      <c r="E26" s="21"/>
      <c r="F26" s="30"/>
      <c r="G26" s="30"/>
      <c r="H26" s="30"/>
    </row>
    <row r="27" spans="2:8" ht="15.75" customHeight="1" x14ac:dyDescent="0.2">
      <c r="B27" s="18"/>
      <c r="C27" s="19" t="s">
        <v>159</v>
      </c>
      <c r="D27" s="141">
        <f>$D$9*($D$7*D13)</f>
        <v>110458.25</v>
      </c>
      <c r="E27" s="21"/>
      <c r="F27" s="30"/>
      <c r="G27" s="30"/>
      <c r="H27" s="30"/>
    </row>
    <row r="28" spans="2:8" ht="15.75" customHeight="1" x14ac:dyDescent="0.2">
      <c r="B28" s="18"/>
      <c r="C28" s="19" t="s">
        <v>160</v>
      </c>
      <c r="D28" s="141">
        <f>$D$9*($D$7*D14)</f>
        <v>36802.85</v>
      </c>
      <c r="E28" s="21"/>
      <c r="F28" s="30"/>
      <c r="G28" s="30"/>
      <c r="H28" s="30"/>
    </row>
    <row r="29" spans="2:8" ht="15.75" customHeight="1" x14ac:dyDescent="0.2">
      <c r="B29" s="18"/>
      <c r="C29" s="19" t="s">
        <v>161</v>
      </c>
      <c r="D29" s="141">
        <f>$D$9*($D$7*D15)</f>
        <v>18413.849999999999</v>
      </c>
      <c r="E29" s="21"/>
      <c r="F29" s="30"/>
      <c r="G29" s="30"/>
      <c r="H29" s="30"/>
    </row>
    <row r="30" spans="2:8" ht="15.75" customHeight="1" x14ac:dyDescent="0.2">
      <c r="B30" s="18"/>
      <c r="C30" s="19" t="s">
        <v>92</v>
      </c>
      <c r="D30" s="141">
        <f>-(D7+D8)</f>
        <v>-775000</v>
      </c>
      <c r="E30" s="21"/>
      <c r="F30" s="30"/>
      <c r="G30" s="30"/>
      <c r="H30" s="30"/>
    </row>
    <row r="31" spans="2:8" ht="15.75" customHeight="1" x14ac:dyDescent="0.2">
      <c r="B31" s="18"/>
      <c r="C31" s="19" t="s">
        <v>126</v>
      </c>
      <c r="D31" s="141">
        <f>NPV(D10,D26,D27,D28,D29,D21+D8)+D30</f>
        <v>-516082.15261899109</v>
      </c>
      <c r="E31" s="21"/>
      <c r="F31" s="30"/>
      <c r="G31" s="30"/>
      <c r="H31" s="30"/>
    </row>
    <row r="32" spans="2:8" ht="15.75" customHeight="1" x14ac:dyDescent="0.2">
      <c r="B32" s="18"/>
      <c r="C32" s="19"/>
      <c r="D32" s="147"/>
      <c r="E32" s="21"/>
      <c r="F32" s="30"/>
      <c r="G32" s="30"/>
      <c r="H32" s="30"/>
    </row>
    <row r="33" spans="2:8" ht="15.75" customHeight="1" x14ac:dyDescent="0.25">
      <c r="B33" s="18"/>
      <c r="C33" s="19" t="s">
        <v>127</v>
      </c>
      <c r="D33" s="163">
        <f>-D31/((1-D9)*PV(D10,5,-1,0))</f>
        <v>220255.71018091345</v>
      </c>
      <c r="E33" s="22"/>
      <c r="F33" s="30"/>
      <c r="G33" s="30"/>
      <c r="H33" s="31"/>
    </row>
    <row r="34" spans="2:8" ht="15.75" customHeight="1" thickBot="1" x14ac:dyDescent="0.25">
      <c r="B34" s="23"/>
      <c r="C34" s="24"/>
      <c r="D34" s="24"/>
      <c r="E34" s="25"/>
      <c r="F34" s="30"/>
      <c r="G34" s="30"/>
      <c r="H34" s="30"/>
    </row>
    <row r="35" spans="2:8" ht="15.75" customHeight="1" x14ac:dyDescent="0.2">
      <c r="B35" s="14"/>
      <c r="E35" s="14"/>
      <c r="F35" s="14"/>
      <c r="G35" s="14"/>
      <c r="H35" s="14"/>
    </row>
    <row r="36" spans="2:8" ht="15.75" customHeight="1" x14ac:dyDescent="0.2">
      <c r="D36" s="26"/>
    </row>
    <row r="37" spans="2:8" ht="15.75" customHeight="1" x14ac:dyDescent="0.2"/>
    <row r="38" spans="2:8" ht="15.75" customHeight="1" x14ac:dyDescent="0.2"/>
    <row r="39" spans="2:8" ht="15.75" customHeight="1" x14ac:dyDescent="0.2"/>
    <row r="40" spans="2:8" ht="15.75" customHeight="1" x14ac:dyDescent="0.2"/>
    <row r="41" spans="2:8" ht="15.75" customHeight="1" x14ac:dyDescent="0.2"/>
    <row r="42" spans="2:8" ht="15.75" customHeight="1" x14ac:dyDescent="0.2"/>
    <row r="43" spans="2:8" ht="15.75" customHeight="1" x14ac:dyDescent="0.2"/>
    <row r="44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320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89</v>
      </c>
      <c r="D7" s="144">
        <v>165000</v>
      </c>
      <c r="E7" s="9"/>
      <c r="G7" s="57"/>
    </row>
    <row r="8" spans="2:7" ht="15.75" customHeight="1" x14ac:dyDescent="0.2">
      <c r="B8" s="8"/>
      <c r="C8" s="13" t="s">
        <v>90</v>
      </c>
      <c r="D8" s="84">
        <v>2300000</v>
      </c>
      <c r="E8" s="9"/>
      <c r="G8" s="57"/>
    </row>
    <row r="9" spans="2:7" ht="15.75" customHeight="1" x14ac:dyDescent="0.2">
      <c r="B9" s="8"/>
      <c r="C9" s="13" t="s">
        <v>33</v>
      </c>
      <c r="D9" s="84">
        <v>150000</v>
      </c>
      <c r="E9" s="9"/>
      <c r="G9" s="57"/>
    </row>
    <row r="10" spans="2:7" ht="15.75" customHeight="1" x14ac:dyDescent="0.2">
      <c r="B10" s="8"/>
      <c r="C10" s="13" t="s">
        <v>81</v>
      </c>
      <c r="D10" s="84">
        <v>450000</v>
      </c>
      <c r="E10" s="9"/>
      <c r="G10" s="57"/>
    </row>
    <row r="11" spans="2:7" ht="15.75" customHeight="1" x14ac:dyDescent="0.2">
      <c r="B11" s="8"/>
      <c r="C11" s="13" t="s">
        <v>59</v>
      </c>
      <c r="D11" s="84"/>
      <c r="E11" s="9"/>
    </row>
    <row r="12" spans="2:7" ht="15.75" customHeight="1" x14ac:dyDescent="0.2">
      <c r="B12" s="8"/>
      <c r="C12" s="13" t="s">
        <v>60</v>
      </c>
      <c r="D12" s="289">
        <v>9.25</v>
      </c>
      <c r="E12" s="9"/>
    </row>
    <row r="13" spans="2:7" ht="15.75" customHeight="1" x14ac:dyDescent="0.2">
      <c r="B13" s="8"/>
      <c r="C13" s="13" t="s">
        <v>91</v>
      </c>
      <c r="D13" s="84">
        <v>130000</v>
      </c>
      <c r="E13" s="9"/>
    </row>
    <row r="14" spans="2:7" ht="15.75" customHeight="1" x14ac:dyDescent="0.2">
      <c r="B14" s="8"/>
      <c r="C14" s="13" t="s">
        <v>6</v>
      </c>
      <c r="D14" s="83">
        <v>0.35</v>
      </c>
      <c r="E14" s="9"/>
    </row>
    <row r="15" spans="2:7" ht="15.75" customHeight="1" x14ac:dyDescent="0.2">
      <c r="B15" s="8"/>
      <c r="C15" s="13" t="s">
        <v>20</v>
      </c>
      <c r="D15" s="83">
        <v>0.14000000000000001</v>
      </c>
      <c r="E15" s="9"/>
    </row>
    <row r="16" spans="2:7" ht="15.75" customHeight="1" x14ac:dyDescent="0.2">
      <c r="B16" s="8"/>
      <c r="C16" s="13" t="s">
        <v>35</v>
      </c>
      <c r="D16" s="95"/>
      <c r="E16" s="9"/>
    </row>
    <row r="17" spans="2:8" ht="15.75" customHeight="1" x14ac:dyDescent="0.2">
      <c r="B17" s="8"/>
      <c r="C17" s="13" t="s">
        <v>36</v>
      </c>
      <c r="D17" s="95">
        <v>5</v>
      </c>
      <c r="E17" s="9"/>
    </row>
    <row r="18" spans="2:8" ht="15.75" customHeight="1" thickBot="1" x14ac:dyDescent="0.25">
      <c r="B18" s="10"/>
      <c r="C18" s="65"/>
      <c r="D18" s="65"/>
      <c r="E18" s="12"/>
    </row>
    <row r="19" spans="2:8" ht="15.75" customHeight="1" x14ac:dyDescent="0.2">
      <c r="B19" s="64"/>
      <c r="E19" s="64"/>
    </row>
    <row r="20" spans="2:8" ht="15.75" customHeight="1" x14ac:dyDescent="0.2">
      <c r="C20" s="2" t="s">
        <v>2</v>
      </c>
    </row>
    <row r="21" spans="2:8" ht="15.75" customHeight="1" thickBot="1" x14ac:dyDescent="0.25"/>
    <row r="22" spans="2:8" ht="15.75" customHeight="1" x14ac:dyDescent="0.2">
      <c r="B22" s="15"/>
      <c r="C22" s="16"/>
      <c r="D22" s="16"/>
      <c r="E22" s="17"/>
    </row>
    <row r="23" spans="2:8" ht="15.75" customHeight="1" x14ac:dyDescent="0.2">
      <c r="B23" s="18"/>
      <c r="C23" s="19" t="s">
        <v>28</v>
      </c>
      <c r="D23" s="141">
        <f>D9*(1-D14)</f>
        <v>97500</v>
      </c>
      <c r="E23" s="21"/>
      <c r="F23" s="30"/>
      <c r="G23" s="30"/>
      <c r="H23" s="30"/>
    </row>
    <row r="24" spans="2:8" ht="15.75" customHeight="1" x14ac:dyDescent="0.2">
      <c r="B24" s="18"/>
      <c r="C24" s="19" t="s">
        <v>12</v>
      </c>
      <c r="D24" s="141">
        <f>(D8/D17)*D14</f>
        <v>161000</v>
      </c>
      <c r="E24" s="21"/>
      <c r="F24" s="30"/>
      <c r="G24" s="30"/>
      <c r="H24" s="30"/>
    </row>
    <row r="25" spans="2:8" ht="15.75" customHeight="1" x14ac:dyDescent="0.2">
      <c r="B25" s="18"/>
      <c r="C25" s="19" t="s">
        <v>92</v>
      </c>
      <c r="D25" s="141">
        <f>-D8-D13</f>
        <v>-2430000</v>
      </c>
      <c r="E25" s="21"/>
      <c r="F25" s="30"/>
      <c r="G25" s="30"/>
      <c r="H25" s="30"/>
    </row>
    <row r="26" spans="2:8" ht="15.75" customHeight="1" x14ac:dyDescent="0.2">
      <c r="B26" s="18"/>
      <c r="C26" s="19" t="s">
        <v>84</v>
      </c>
      <c r="D26" s="141">
        <f>D25+(D13+D23)/((1+D15)^D17)</f>
        <v>-2311843.6288581421</v>
      </c>
      <c r="E26" s="21"/>
      <c r="F26" s="30"/>
      <c r="G26" s="30"/>
      <c r="H26" s="30"/>
    </row>
    <row r="27" spans="2:8" ht="15.75" customHeight="1" x14ac:dyDescent="0.2">
      <c r="B27" s="18"/>
      <c r="C27" s="19" t="s">
        <v>93</v>
      </c>
      <c r="D27" s="141">
        <f>PMT(D15,D17,D26)</f>
        <v>673402.01114652317</v>
      </c>
      <c r="E27" s="21"/>
      <c r="F27" s="30"/>
      <c r="G27" s="30"/>
      <c r="H27" s="30"/>
    </row>
    <row r="28" spans="2:8" ht="15.75" customHeight="1" x14ac:dyDescent="0.2">
      <c r="B28" s="18"/>
      <c r="C28" s="19" t="s">
        <v>94</v>
      </c>
      <c r="D28" s="141">
        <f>D27-D24</f>
        <v>512402.01114652317</v>
      </c>
      <c r="E28" s="21"/>
      <c r="F28" s="30"/>
      <c r="G28" s="30"/>
      <c r="H28" s="30"/>
    </row>
    <row r="29" spans="2:8" ht="15.75" customHeight="1" x14ac:dyDescent="0.2">
      <c r="B29" s="18"/>
      <c r="C29" s="19"/>
      <c r="D29" s="147"/>
      <c r="E29" s="21"/>
      <c r="F29" s="30"/>
      <c r="G29" s="30"/>
      <c r="H29" s="30"/>
    </row>
    <row r="30" spans="2:8" ht="15.75" customHeight="1" x14ac:dyDescent="0.25">
      <c r="B30" s="18"/>
      <c r="C30" s="19" t="s">
        <v>95</v>
      </c>
      <c r="D30" s="138">
        <f>(((D28/(1-D14))+D10)/D7)+D12</f>
        <v>16.754913856844041</v>
      </c>
      <c r="E30" s="22"/>
      <c r="F30" s="30"/>
      <c r="G30" s="30"/>
      <c r="H30" s="31"/>
    </row>
    <row r="31" spans="2:8" ht="15.75" customHeight="1" thickBot="1" x14ac:dyDescent="0.25">
      <c r="B31" s="23"/>
      <c r="C31" s="24"/>
      <c r="D31" s="24"/>
      <c r="E31" s="25"/>
      <c r="F31" s="30"/>
      <c r="G31" s="30"/>
      <c r="H31" s="30"/>
    </row>
    <row r="32" spans="2:8" ht="15.75" customHeight="1" x14ac:dyDescent="0.2">
      <c r="B32" s="14"/>
      <c r="E32" s="14"/>
      <c r="F32" s="14"/>
      <c r="G32" s="14"/>
      <c r="H32" s="14"/>
    </row>
    <row r="33" spans="4:4" ht="15.75" customHeight="1" x14ac:dyDescent="0.2">
      <c r="D33" s="26"/>
    </row>
    <row r="34" spans="4:4" ht="15.75" customHeight="1" x14ac:dyDescent="0.2"/>
    <row r="35" spans="4:4" ht="15.75" customHeight="1" x14ac:dyDescent="0.2"/>
    <row r="36" spans="4:4" ht="15.75" customHeight="1" x14ac:dyDescent="0.2"/>
    <row r="37" spans="4:4" ht="15.75" customHeight="1" x14ac:dyDescent="0.2"/>
    <row r="38" spans="4:4" ht="15.75" customHeight="1" x14ac:dyDescent="0.2"/>
    <row r="39" spans="4:4" ht="15.75" customHeight="1" x14ac:dyDescent="0.2"/>
    <row r="40" spans="4:4" ht="15.75" customHeight="1" x14ac:dyDescent="0.2"/>
    <row r="41" spans="4: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9" width="19.42578125" customWidth="1"/>
    <col min="10" max="10" width="4.710937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321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89</v>
      </c>
      <c r="D7" s="150">
        <f>'#30'!D7</f>
        <v>165000</v>
      </c>
      <c r="E7" s="9"/>
      <c r="G7" s="57"/>
    </row>
    <row r="8" spans="2:7" ht="15.75" customHeight="1" x14ac:dyDescent="0.2">
      <c r="B8" s="8"/>
      <c r="C8" s="13" t="s">
        <v>90</v>
      </c>
      <c r="D8" s="127">
        <f>'#30'!D8</f>
        <v>2300000</v>
      </c>
      <c r="E8" s="9"/>
      <c r="G8" s="57"/>
    </row>
    <row r="9" spans="2:7" ht="15.75" customHeight="1" x14ac:dyDescent="0.2">
      <c r="B9" s="8"/>
      <c r="C9" s="13" t="s">
        <v>33</v>
      </c>
      <c r="D9" s="127">
        <f>'#30'!D9</f>
        <v>150000</v>
      </c>
      <c r="E9" s="9"/>
      <c r="G9" s="57"/>
    </row>
    <row r="10" spans="2:7" ht="15.75" customHeight="1" x14ac:dyDescent="0.2">
      <c r="B10" s="8"/>
      <c r="C10" s="13" t="s">
        <v>81</v>
      </c>
      <c r="D10" s="127">
        <f>'#30'!D10</f>
        <v>450000</v>
      </c>
      <c r="E10" s="9"/>
      <c r="G10" s="57"/>
    </row>
    <row r="11" spans="2:7" ht="15.75" customHeight="1" x14ac:dyDescent="0.2">
      <c r="B11" s="8"/>
      <c r="C11" s="13" t="s">
        <v>59</v>
      </c>
      <c r="D11" s="127"/>
      <c r="E11" s="9"/>
    </row>
    <row r="12" spans="2:7" ht="15.75" customHeight="1" x14ac:dyDescent="0.2">
      <c r="B12" s="8"/>
      <c r="C12" s="13" t="s">
        <v>60</v>
      </c>
      <c r="D12" s="224">
        <f>'#30'!D12</f>
        <v>9.25</v>
      </c>
      <c r="E12" s="9"/>
    </row>
    <row r="13" spans="2:7" ht="15.75" customHeight="1" x14ac:dyDescent="0.2">
      <c r="B13" s="8"/>
      <c r="C13" s="13" t="s">
        <v>91</v>
      </c>
      <c r="D13" s="127">
        <f>'#30'!D13</f>
        <v>130000</v>
      </c>
      <c r="E13" s="9"/>
    </row>
    <row r="14" spans="2:7" ht="15.75" customHeight="1" x14ac:dyDescent="0.2">
      <c r="B14" s="8"/>
      <c r="C14" s="13" t="s">
        <v>6</v>
      </c>
      <c r="D14" s="131">
        <f>'#30'!D14</f>
        <v>0.35</v>
      </c>
      <c r="E14" s="9"/>
    </row>
    <row r="15" spans="2:7" ht="15.75" customHeight="1" x14ac:dyDescent="0.2">
      <c r="B15" s="8"/>
      <c r="C15" s="13" t="s">
        <v>20</v>
      </c>
      <c r="D15" s="131">
        <f>'#30'!D15</f>
        <v>0.14000000000000001</v>
      </c>
      <c r="E15" s="9"/>
    </row>
    <row r="16" spans="2:7" ht="15.75" customHeight="1" x14ac:dyDescent="0.2">
      <c r="B16" s="8"/>
      <c r="C16" s="13" t="s">
        <v>34</v>
      </c>
      <c r="D16" s="140"/>
      <c r="E16" s="9"/>
    </row>
    <row r="17" spans="2:10" ht="15.75" customHeight="1" x14ac:dyDescent="0.2">
      <c r="B17" s="8"/>
      <c r="C17" s="13" t="s">
        <v>36</v>
      </c>
      <c r="D17" s="140">
        <f>'#30'!D17</f>
        <v>5</v>
      </c>
      <c r="E17" s="9"/>
    </row>
    <row r="18" spans="2:10" ht="15.75" customHeight="1" x14ac:dyDescent="0.2">
      <c r="B18" s="8"/>
      <c r="C18" s="164" t="s">
        <v>128</v>
      </c>
      <c r="D18" s="165">
        <v>18</v>
      </c>
      <c r="E18" s="9"/>
    </row>
    <row r="19" spans="2:10" ht="15.75" customHeight="1" thickBot="1" x14ac:dyDescent="0.25">
      <c r="B19" s="10"/>
      <c r="C19" s="65"/>
      <c r="D19" s="65"/>
      <c r="E19" s="12"/>
    </row>
    <row r="20" spans="2:10" ht="15.75" customHeight="1" x14ac:dyDescent="0.2">
      <c r="B20" s="64"/>
      <c r="E20" s="64"/>
    </row>
    <row r="21" spans="2:10" ht="15.75" customHeight="1" x14ac:dyDescent="0.2">
      <c r="C21" s="2" t="s">
        <v>2</v>
      </c>
    </row>
    <row r="22" spans="2:10" ht="15.75" customHeight="1" thickBot="1" x14ac:dyDescent="0.25"/>
    <row r="23" spans="2:10" ht="15.75" customHeight="1" x14ac:dyDescent="0.2">
      <c r="B23" s="68"/>
      <c r="C23" s="69"/>
      <c r="D23" s="69"/>
      <c r="E23" s="69"/>
      <c r="F23" s="69"/>
      <c r="G23" s="69"/>
      <c r="H23" s="69"/>
      <c r="I23" s="69"/>
      <c r="J23" s="155"/>
    </row>
    <row r="24" spans="2:10" ht="15.75" customHeight="1" x14ac:dyDescent="0.2">
      <c r="B24" s="70"/>
      <c r="C24" s="19" t="s">
        <v>28</v>
      </c>
      <c r="D24" s="121">
        <f>D9*(1-D14)</f>
        <v>97500</v>
      </c>
      <c r="E24" s="19"/>
      <c r="F24" s="19"/>
      <c r="G24" s="19"/>
      <c r="H24" s="19"/>
      <c r="I24" s="19"/>
      <c r="J24" s="22"/>
    </row>
    <row r="25" spans="2:10" ht="15.75" customHeight="1" x14ac:dyDescent="0.2">
      <c r="B25" s="70"/>
      <c r="C25" s="19"/>
      <c r="D25" s="19"/>
      <c r="E25" s="19"/>
      <c r="F25" s="19"/>
      <c r="G25" s="19"/>
      <c r="H25" s="19"/>
      <c r="I25" s="19"/>
      <c r="J25" s="22"/>
    </row>
    <row r="26" spans="2:10" ht="15.75" customHeight="1" x14ac:dyDescent="0.2">
      <c r="B26" s="166" t="s">
        <v>129</v>
      </c>
      <c r="C26" s="157" t="s">
        <v>24</v>
      </c>
      <c r="D26" s="156">
        <v>0</v>
      </c>
      <c r="E26" s="156">
        <v>1</v>
      </c>
      <c r="F26" s="156">
        <v>2</v>
      </c>
      <c r="G26" s="156">
        <v>3</v>
      </c>
      <c r="H26" s="156">
        <v>4</v>
      </c>
      <c r="I26" s="156">
        <v>5</v>
      </c>
      <c r="J26" s="22"/>
    </row>
    <row r="27" spans="2:10" ht="15.75" customHeight="1" x14ac:dyDescent="0.2">
      <c r="B27" s="70"/>
      <c r="C27" s="19" t="s">
        <v>10</v>
      </c>
      <c r="D27" s="137"/>
      <c r="E27" s="79">
        <f>$D$7*$D$18</f>
        <v>2970000</v>
      </c>
      <c r="F27" s="79">
        <f>$D$7*$D$18</f>
        <v>2970000</v>
      </c>
      <c r="G27" s="79">
        <f>$D$7*$D$18</f>
        <v>2970000</v>
      </c>
      <c r="H27" s="79">
        <f>$D$7*$D$18</f>
        <v>2970000</v>
      </c>
      <c r="I27" s="79">
        <f>$D$7*$D$18</f>
        <v>2970000</v>
      </c>
      <c r="J27" s="22"/>
    </row>
    <row r="28" spans="2:10" ht="15.75" customHeight="1" x14ac:dyDescent="0.2">
      <c r="B28" s="70"/>
      <c r="C28" s="19" t="s">
        <v>80</v>
      </c>
      <c r="D28" s="137"/>
      <c r="E28" s="80">
        <f>$D$7*$D$12</f>
        <v>1526250</v>
      </c>
      <c r="F28" s="80">
        <f>$D$7*$D$12</f>
        <v>1526250</v>
      </c>
      <c r="G28" s="80">
        <f>$D$7*$D$12</f>
        <v>1526250</v>
      </c>
      <c r="H28" s="80">
        <f>$D$7*$D$12</f>
        <v>1526250</v>
      </c>
      <c r="I28" s="80">
        <f>$D$7*$D$12</f>
        <v>1526250</v>
      </c>
      <c r="J28" s="22"/>
    </row>
    <row r="29" spans="2:10" ht="15.75" customHeight="1" x14ac:dyDescent="0.2">
      <c r="B29" s="70"/>
      <c r="C29" s="19" t="s">
        <v>81</v>
      </c>
      <c r="D29" s="137"/>
      <c r="E29" s="80">
        <f>$D$10</f>
        <v>450000</v>
      </c>
      <c r="F29" s="80">
        <f>$D$10</f>
        <v>450000</v>
      </c>
      <c r="G29" s="80">
        <f>$D$10</f>
        <v>450000</v>
      </c>
      <c r="H29" s="80">
        <f>$D$10</f>
        <v>450000</v>
      </c>
      <c r="I29" s="80">
        <f>$D$10</f>
        <v>450000</v>
      </c>
      <c r="J29" s="22"/>
    </row>
    <row r="30" spans="2:10" ht="15.75" customHeight="1" x14ac:dyDescent="0.2">
      <c r="B30" s="70"/>
      <c r="C30" s="19" t="s">
        <v>5</v>
      </c>
      <c r="D30" s="137"/>
      <c r="E30" s="82">
        <f>$D$8/$D$17</f>
        <v>460000</v>
      </c>
      <c r="F30" s="82">
        <f>$D$8/$D$17</f>
        <v>460000</v>
      </c>
      <c r="G30" s="82">
        <f>$D$8/$D$17</f>
        <v>460000</v>
      </c>
      <c r="H30" s="82">
        <f>$D$8/$D$17</f>
        <v>460000</v>
      </c>
      <c r="I30" s="82">
        <f>$D$8/$D$17</f>
        <v>460000</v>
      </c>
      <c r="J30" s="22"/>
    </row>
    <row r="31" spans="2:10" ht="15.75" customHeight="1" x14ac:dyDescent="0.2">
      <c r="B31" s="70"/>
      <c r="C31" s="19" t="s">
        <v>114</v>
      </c>
      <c r="D31" s="137"/>
      <c r="E31" s="79">
        <f>E27-E28-E29-E30</f>
        <v>533750</v>
      </c>
      <c r="F31" s="79">
        <f>F27-F28-F29-F30</f>
        <v>533750</v>
      </c>
      <c r="G31" s="79">
        <f>G27-G28-G29-G30</f>
        <v>533750</v>
      </c>
      <c r="H31" s="79">
        <f>H27-H28-H29-H30</f>
        <v>533750</v>
      </c>
      <c r="I31" s="79">
        <f>I27-I28-I29-I30</f>
        <v>533750</v>
      </c>
      <c r="J31" s="22"/>
    </row>
    <row r="32" spans="2:10" ht="15.75" customHeight="1" x14ac:dyDescent="0.2">
      <c r="B32" s="70"/>
      <c r="C32" s="19" t="s">
        <v>79</v>
      </c>
      <c r="D32" s="137"/>
      <c r="E32" s="82">
        <f>$E$31*$D$14</f>
        <v>186812.5</v>
      </c>
      <c r="F32" s="82">
        <f>$E$31*$D$14</f>
        <v>186812.5</v>
      </c>
      <c r="G32" s="82">
        <f>$E$31*$D$14</f>
        <v>186812.5</v>
      </c>
      <c r="H32" s="82">
        <f>$E$31*$D$14</f>
        <v>186812.5</v>
      </c>
      <c r="I32" s="82">
        <f>$E$31*$D$14</f>
        <v>186812.5</v>
      </c>
      <c r="J32" s="22"/>
    </row>
    <row r="33" spans="2:10" ht="15.75" customHeight="1" x14ac:dyDescent="0.2">
      <c r="B33" s="70"/>
      <c r="C33" s="19" t="s">
        <v>115</v>
      </c>
      <c r="D33" s="137"/>
      <c r="E33" s="79">
        <f>E31-E32</f>
        <v>346937.5</v>
      </c>
      <c r="F33" s="79">
        <f>F31-F32</f>
        <v>346937.5</v>
      </c>
      <c r="G33" s="79">
        <f>G31-G32</f>
        <v>346937.5</v>
      </c>
      <c r="H33" s="79">
        <f>H31-H32</f>
        <v>346937.5</v>
      </c>
      <c r="I33" s="79">
        <f>I31-I32</f>
        <v>346937.5</v>
      </c>
      <c r="J33" s="22"/>
    </row>
    <row r="34" spans="2:10" ht="15.75" customHeight="1" x14ac:dyDescent="0.2">
      <c r="B34" s="70"/>
      <c r="C34" s="19" t="s">
        <v>5</v>
      </c>
      <c r="D34" s="137"/>
      <c r="E34" s="80">
        <f>E30</f>
        <v>460000</v>
      </c>
      <c r="F34" s="80">
        <f>F30</f>
        <v>460000</v>
      </c>
      <c r="G34" s="80">
        <f>G30</f>
        <v>460000</v>
      </c>
      <c r="H34" s="80">
        <f>H30</f>
        <v>460000</v>
      </c>
      <c r="I34" s="80">
        <f>I30</f>
        <v>460000</v>
      </c>
      <c r="J34" s="22"/>
    </row>
    <row r="35" spans="2:10" ht="15.75" customHeight="1" thickBot="1" x14ac:dyDescent="0.25">
      <c r="B35" s="70"/>
      <c r="C35" s="19" t="s">
        <v>116</v>
      </c>
      <c r="D35" s="137"/>
      <c r="E35" s="126">
        <f>E33+E34</f>
        <v>806937.5</v>
      </c>
      <c r="F35" s="126">
        <f>F33+F34</f>
        <v>806937.5</v>
      </c>
      <c r="G35" s="126">
        <f>G33+G34</f>
        <v>806937.5</v>
      </c>
      <c r="H35" s="126">
        <f>H33+H34</f>
        <v>806937.5</v>
      </c>
      <c r="I35" s="126">
        <f>I33+I34</f>
        <v>806937.5</v>
      </c>
      <c r="J35" s="22"/>
    </row>
    <row r="36" spans="2:10" ht="15.75" customHeight="1" thickTop="1" x14ac:dyDescent="0.2">
      <c r="B36" s="70"/>
      <c r="C36" s="19"/>
      <c r="D36" s="137"/>
      <c r="E36" s="79"/>
      <c r="F36" s="79"/>
      <c r="G36" s="79"/>
      <c r="H36" s="79"/>
      <c r="I36" s="79"/>
      <c r="J36" s="22"/>
    </row>
    <row r="37" spans="2:10" ht="15.75" customHeight="1" x14ac:dyDescent="0.2">
      <c r="B37" s="70"/>
      <c r="C37" s="158" t="s">
        <v>117</v>
      </c>
      <c r="D37" s="141"/>
      <c r="E37" s="141"/>
      <c r="F37" s="141"/>
      <c r="G37" s="141"/>
      <c r="H37" s="141"/>
      <c r="I37" s="141"/>
      <c r="J37" s="22"/>
    </row>
    <row r="38" spans="2:10" ht="15.75" customHeight="1" x14ac:dyDescent="0.2">
      <c r="B38" s="70"/>
      <c r="C38" s="19" t="s">
        <v>116</v>
      </c>
      <c r="D38" s="96"/>
      <c r="E38" s="96">
        <f>E35</f>
        <v>806937.5</v>
      </c>
      <c r="F38" s="96">
        <f>F35</f>
        <v>806937.5</v>
      </c>
      <c r="G38" s="96">
        <f>G35</f>
        <v>806937.5</v>
      </c>
      <c r="H38" s="96">
        <f>H35</f>
        <v>806937.5</v>
      </c>
      <c r="I38" s="96">
        <f>I35</f>
        <v>806937.5</v>
      </c>
      <c r="J38" s="22"/>
    </row>
    <row r="39" spans="2:10" ht="15.75" customHeight="1" x14ac:dyDescent="0.2">
      <c r="B39" s="70"/>
      <c r="C39" s="19" t="s">
        <v>118</v>
      </c>
      <c r="D39" s="96">
        <f>-$D$13</f>
        <v>-130000</v>
      </c>
      <c r="E39" s="139"/>
      <c r="F39" s="139"/>
      <c r="G39" s="139"/>
      <c r="H39" s="139"/>
      <c r="I39" s="139">
        <f>D13</f>
        <v>130000</v>
      </c>
      <c r="J39" s="22"/>
    </row>
    <row r="40" spans="2:10" ht="15.75" customHeight="1" x14ac:dyDescent="0.2">
      <c r="B40" s="70"/>
      <c r="C40" s="19" t="s">
        <v>119</v>
      </c>
      <c r="D40" s="139">
        <f>-$D$8</f>
        <v>-2300000</v>
      </c>
      <c r="E40" s="139"/>
      <c r="F40" s="139"/>
      <c r="G40" s="139"/>
      <c r="H40" s="139"/>
      <c r="I40" s="139">
        <f>$D$24</f>
        <v>97500</v>
      </c>
      <c r="J40" s="22"/>
    </row>
    <row r="41" spans="2:10" ht="15.75" customHeight="1" thickBot="1" x14ac:dyDescent="0.25">
      <c r="B41" s="70"/>
      <c r="C41" s="19" t="s">
        <v>120</v>
      </c>
      <c r="D41" s="159">
        <f t="shared" ref="D41:I41" si="0">D38+D39+D40</f>
        <v>-2430000</v>
      </c>
      <c r="E41" s="160">
        <f t="shared" si="0"/>
        <v>806937.5</v>
      </c>
      <c r="F41" s="160">
        <f t="shared" si="0"/>
        <v>806937.5</v>
      </c>
      <c r="G41" s="160">
        <f t="shared" si="0"/>
        <v>806937.5</v>
      </c>
      <c r="H41" s="160">
        <f t="shared" si="0"/>
        <v>806937.5</v>
      </c>
      <c r="I41" s="160">
        <f t="shared" si="0"/>
        <v>1034437.5</v>
      </c>
      <c r="J41" s="22"/>
    </row>
    <row r="42" spans="2:10" ht="15.75" customHeight="1" thickTop="1" x14ac:dyDescent="0.2">
      <c r="B42" s="70"/>
      <c r="C42" s="19"/>
      <c r="D42" s="141"/>
      <c r="E42" s="141"/>
      <c r="F42" s="141"/>
      <c r="G42" s="141"/>
      <c r="H42" s="141"/>
      <c r="I42" s="141"/>
      <c r="J42" s="22"/>
    </row>
    <row r="43" spans="2:10" ht="15.75" customHeight="1" x14ac:dyDescent="0.25">
      <c r="B43" s="70"/>
      <c r="C43" s="19" t="s">
        <v>121</v>
      </c>
      <c r="D43" s="138">
        <f>NPV(D15,E41:I41)+D41</f>
        <v>458438.14545008121</v>
      </c>
      <c r="E43" s="147"/>
      <c r="F43" s="147"/>
      <c r="G43" s="147"/>
      <c r="H43" s="147"/>
      <c r="I43" s="147"/>
      <c r="J43" s="22"/>
    </row>
    <row r="44" spans="2:10" ht="15.75" customHeight="1" x14ac:dyDescent="0.25">
      <c r="B44" s="70"/>
      <c r="C44" s="19"/>
      <c r="D44" s="161"/>
      <c r="E44" s="147"/>
      <c r="F44" s="147"/>
      <c r="G44" s="147"/>
      <c r="H44" s="147"/>
      <c r="I44" s="147"/>
      <c r="J44" s="22"/>
    </row>
    <row r="45" spans="2:10" ht="15.75" customHeight="1" x14ac:dyDescent="0.2">
      <c r="B45" s="166" t="s">
        <v>130</v>
      </c>
      <c r="C45" s="19" t="s">
        <v>84</v>
      </c>
      <c r="D45" s="141">
        <f>PV($D$15,$D$17,0,-($D$13+$D$24))+$D$41</f>
        <v>-2311843.6288581421</v>
      </c>
      <c r="E45" s="147"/>
      <c r="F45" s="147"/>
      <c r="G45" s="147"/>
      <c r="H45" s="147"/>
      <c r="I45" s="147"/>
      <c r="J45" s="22"/>
    </row>
    <row r="46" spans="2:10" ht="15.75" customHeight="1" x14ac:dyDescent="0.2">
      <c r="B46" s="70"/>
      <c r="C46" s="19" t="s">
        <v>93</v>
      </c>
      <c r="D46" s="167">
        <f>PMT(D15,D17,D45,0,0)</f>
        <v>673402.01114652317</v>
      </c>
      <c r="E46" s="147"/>
      <c r="F46" s="147"/>
      <c r="G46" s="147"/>
      <c r="H46" s="147"/>
      <c r="I46" s="147"/>
      <c r="J46" s="22"/>
    </row>
    <row r="47" spans="2:10" ht="15.75" customHeight="1" x14ac:dyDescent="0.25">
      <c r="B47" s="70"/>
      <c r="C47" s="19" t="s">
        <v>131</v>
      </c>
      <c r="D47" s="168">
        <f>((((D46-(D14*(D8/D17)))/(1-D14))+D10)/(D18-D12))</f>
        <v>141521.23272905903</v>
      </c>
      <c r="E47" s="147"/>
      <c r="F47" s="147"/>
      <c r="G47" s="147"/>
      <c r="H47" s="147"/>
      <c r="I47" s="147"/>
      <c r="J47" s="22"/>
    </row>
    <row r="48" spans="2:10" ht="15.75" customHeight="1" x14ac:dyDescent="0.25">
      <c r="B48" s="70"/>
      <c r="C48" s="19"/>
      <c r="D48" s="161"/>
      <c r="E48" s="147"/>
      <c r="F48" s="147"/>
      <c r="G48" s="147"/>
      <c r="H48" s="147"/>
      <c r="I48" s="147"/>
      <c r="J48" s="22"/>
    </row>
    <row r="49" spans="2:10" ht="15.75" customHeight="1" x14ac:dyDescent="0.2">
      <c r="B49" s="70"/>
      <c r="C49" s="157" t="s">
        <v>24</v>
      </c>
      <c r="D49" s="156">
        <v>0</v>
      </c>
      <c r="E49" s="156">
        <v>1</v>
      </c>
      <c r="F49" s="156">
        <v>2</v>
      </c>
      <c r="G49" s="156">
        <v>3</v>
      </c>
      <c r="H49" s="156">
        <v>4</v>
      </c>
      <c r="I49" s="156">
        <v>5</v>
      </c>
      <c r="J49" s="22"/>
    </row>
    <row r="50" spans="2:10" ht="15.75" customHeight="1" x14ac:dyDescent="0.2">
      <c r="B50" s="70"/>
      <c r="C50" s="19" t="s">
        <v>10</v>
      </c>
      <c r="D50" s="137"/>
      <c r="E50" s="79">
        <f>$D$18*$D$47</f>
        <v>2547382.1891230624</v>
      </c>
      <c r="F50" s="79">
        <f>$D$18*$D$47</f>
        <v>2547382.1891230624</v>
      </c>
      <c r="G50" s="79">
        <f>$D$18*$D$47</f>
        <v>2547382.1891230624</v>
      </c>
      <c r="H50" s="79">
        <f>$D$18*$D$47</f>
        <v>2547382.1891230624</v>
      </c>
      <c r="I50" s="79">
        <f>$D$18*$D$47</f>
        <v>2547382.1891230624</v>
      </c>
      <c r="J50" s="22"/>
    </row>
    <row r="51" spans="2:10" ht="15.75" customHeight="1" x14ac:dyDescent="0.2">
      <c r="B51" s="70"/>
      <c r="C51" s="19" t="s">
        <v>80</v>
      </c>
      <c r="D51" s="137"/>
      <c r="E51" s="80">
        <f>$D$47*$D$12</f>
        <v>1309071.4027437961</v>
      </c>
      <c r="F51" s="80">
        <f>$D$47*$D$12</f>
        <v>1309071.4027437961</v>
      </c>
      <c r="G51" s="80">
        <f>$D$47*$D$12</f>
        <v>1309071.4027437961</v>
      </c>
      <c r="H51" s="80">
        <f>$D$47*$D$12</f>
        <v>1309071.4027437961</v>
      </c>
      <c r="I51" s="80">
        <f>$D$47*$D$12</f>
        <v>1309071.4027437961</v>
      </c>
      <c r="J51" s="22"/>
    </row>
    <row r="52" spans="2:10" ht="15.75" customHeight="1" x14ac:dyDescent="0.2">
      <c r="B52" s="70"/>
      <c r="C52" s="19" t="s">
        <v>81</v>
      </c>
      <c r="D52" s="137"/>
      <c r="E52" s="80">
        <f>$D$10</f>
        <v>450000</v>
      </c>
      <c r="F52" s="80">
        <f>$D$10</f>
        <v>450000</v>
      </c>
      <c r="G52" s="80">
        <f>$D$10</f>
        <v>450000</v>
      </c>
      <c r="H52" s="80">
        <f>$D$10</f>
        <v>450000</v>
      </c>
      <c r="I52" s="80">
        <f>$D$10</f>
        <v>450000</v>
      </c>
      <c r="J52" s="22"/>
    </row>
    <row r="53" spans="2:10" ht="15.75" customHeight="1" x14ac:dyDescent="0.2">
      <c r="B53" s="70"/>
      <c r="C53" s="19" t="s">
        <v>5</v>
      </c>
      <c r="D53" s="137"/>
      <c r="E53" s="82">
        <f>$D$8/$D$17</f>
        <v>460000</v>
      </c>
      <c r="F53" s="82">
        <f>$D$8/$D$17</f>
        <v>460000</v>
      </c>
      <c r="G53" s="82">
        <f>$D$8/$D$17</f>
        <v>460000</v>
      </c>
      <c r="H53" s="82">
        <f>$D$8/$D$17</f>
        <v>460000</v>
      </c>
      <c r="I53" s="82">
        <f>$D$8/$D$17</f>
        <v>460000</v>
      </c>
      <c r="J53" s="22"/>
    </row>
    <row r="54" spans="2:10" ht="15.75" customHeight="1" x14ac:dyDescent="0.2">
      <c r="B54" s="70"/>
      <c r="C54" s="19" t="s">
        <v>114</v>
      </c>
      <c r="D54" s="137"/>
      <c r="E54" s="79">
        <f>E50-E51-E52-E53</f>
        <v>328310.7863792663</v>
      </c>
      <c r="F54" s="79">
        <f>F50-F51-F52-F53</f>
        <v>328310.7863792663</v>
      </c>
      <c r="G54" s="79">
        <f>G50-G51-G52-G53</f>
        <v>328310.7863792663</v>
      </c>
      <c r="H54" s="79">
        <f>H50-H51-H52-H53</f>
        <v>328310.7863792663</v>
      </c>
      <c r="I54" s="79">
        <f>I50-I51-I52-I53</f>
        <v>328310.7863792663</v>
      </c>
      <c r="J54" s="22"/>
    </row>
    <row r="55" spans="2:10" ht="15.75" customHeight="1" x14ac:dyDescent="0.2">
      <c r="B55" s="70"/>
      <c r="C55" s="19" t="s">
        <v>79</v>
      </c>
      <c r="D55" s="137"/>
      <c r="E55" s="82">
        <f>E54*$D$14</f>
        <v>114908.7752327432</v>
      </c>
      <c r="F55" s="82">
        <f>F54*$D$14</f>
        <v>114908.7752327432</v>
      </c>
      <c r="G55" s="82">
        <f>G54*$D$14</f>
        <v>114908.7752327432</v>
      </c>
      <c r="H55" s="82">
        <f>H54*$D$14</f>
        <v>114908.7752327432</v>
      </c>
      <c r="I55" s="82">
        <f>I54*$D$14</f>
        <v>114908.7752327432</v>
      </c>
      <c r="J55" s="22"/>
    </row>
    <row r="56" spans="2:10" ht="15.75" customHeight="1" x14ac:dyDescent="0.2">
      <c r="B56" s="70"/>
      <c r="C56" s="19" t="s">
        <v>115</v>
      </c>
      <c r="D56" s="137"/>
      <c r="E56" s="79">
        <f>E54-E55</f>
        <v>213402.01114652312</v>
      </c>
      <c r="F56" s="79">
        <f>F54-F55</f>
        <v>213402.01114652312</v>
      </c>
      <c r="G56" s="79">
        <f>G54-G55</f>
        <v>213402.01114652312</v>
      </c>
      <c r="H56" s="79">
        <f>H54-H55</f>
        <v>213402.01114652312</v>
      </c>
      <c r="I56" s="79">
        <f>I54-I55</f>
        <v>213402.01114652312</v>
      </c>
      <c r="J56" s="22"/>
    </row>
    <row r="57" spans="2:10" ht="15.75" customHeight="1" x14ac:dyDescent="0.2">
      <c r="B57" s="70"/>
      <c r="C57" s="19" t="s">
        <v>5</v>
      </c>
      <c r="D57" s="137"/>
      <c r="E57" s="80">
        <f>E53</f>
        <v>460000</v>
      </c>
      <c r="F57" s="80">
        <f>F53</f>
        <v>460000</v>
      </c>
      <c r="G57" s="80">
        <f>G53</f>
        <v>460000</v>
      </c>
      <c r="H57" s="80">
        <f>H53</f>
        <v>460000</v>
      </c>
      <c r="I57" s="80">
        <f>I53</f>
        <v>460000</v>
      </c>
      <c r="J57" s="22"/>
    </row>
    <row r="58" spans="2:10" ht="15.75" customHeight="1" thickBot="1" x14ac:dyDescent="0.25">
      <c r="B58" s="70"/>
      <c r="C58" s="19" t="s">
        <v>116</v>
      </c>
      <c r="D58" s="137"/>
      <c r="E58" s="126">
        <f>E56+E57</f>
        <v>673402.01114652306</v>
      </c>
      <c r="F58" s="126">
        <f>F56+F57</f>
        <v>673402.01114652306</v>
      </c>
      <c r="G58" s="126">
        <f>G56+G57</f>
        <v>673402.01114652306</v>
      </c>
      <c r="H58" s="126">
        <f>H56+H57</f>
        <v>673402.01114652306</v>
      </c>
      <c r="I58" s="126">
        <f>I56+I57</f>
        <v>673402.01114652306</v>
      </c>
      <c r="J58" s="22"/>
    </row>
    <row r="59" spans="2:10" ht="15.75" customHeight="1" thickTop="1" x14ac:dyDescent="0.2">
      <c r="B59" s="70"/>
      <c r="C59" s="19"/>
      <c r="D59" s="137"/>
      <c r="E59" s="79"/>
      <c r="F59" s="79"/>
      <c r="G59" s="79"/>
      <c r="H59" s="79"/>
      <c r="I59" s="79"/>
      <c r="J59" s="22"/>
    </row>
    <row r="60" spans="2:10" ht="15.75" customHeight="1" x14ac:dyDescent="0.2">
      <c r="B60" s="70"/>
      <c r="C60" s="158" t="s">
        <v>117</v>
      </c>
      <c r="D60" s="141"/>
      <c r="E60" s="141"/>
      <c r="F60" s="141"/>
      <c r="G60" s="141"/>
      <c r="H60" s="141"/>
      <c r="I60" s="141"/>
      <c r="J60" s="22"/>
    </row>
    <row r="61" spans="2:10" ht="15.75" customHeight="1" x14ac:dyDescent="0.2">
      <c r="B61" s="70"/>
      <c r="C61" s="19" t="s">
        <v>116</v>
      </c>
      <c r="D61" s="96">
        <v>0</v>
      </c>
      <c r="E61" s="96">
        <f>E58</f>
        <v>673402.01114652306</v>
      </c>
      <c r="F61" s="96">
        <f>F58</f>
        <v>673402.01114652306</v>
      </c>
      <c r="G61" s="96">
        <f>G58</f>
        <v>673402.01114652306</v>
      </c>
      <c r="H61" s="96">
        <f>H58</f>
        <v>673402.01114652306</v>
      </c>
      <c r="I61" s="96">
        <f>I58</f>
        <v>673402.01114652306</v>
      </c>
      <c r="J61" s="22"/>
    </row>
    <row r="62" spans="2:10" ht="15.75" customHeight="1" x14ac:dyDescent="0.2">
      <c r="B62" s="70"/>
      <c r="C62" s="19" t="s">
        <v>118</v>
      </c>
      <c r="D62" s="139">
        <f>-$D$13</f>
        <v>-130000</v>
      </c>
      <c r="E62" s="139">
        <f>(E50-F50)</f>
        <v>0</v>
      </c>
      <c r="F62" s="139">
        <f>(F50-G50)</f>
        <v>0</v>
      </c>
      <c r="G62" s="139">
        <f>(G50-H50)</f>
        <v>0</v>
      </c>
      <c r="H62" s="139">
        <f>(H50-I50)</f>
        <v>0</v>
      </c>
      <c r="I62" s="139">
        <f>$D$13</f>
        <v>130000</v>
      </c>
      <c r="J62" s="22"/>
    </row>
    <row r="63" spans="2:10" ht="15.75" customHeight="1" x14ac:dyDescent="0.2">
      <c r="B63" s="70"/>
      <c r="C63" s="19" t="s">
        <v>119</v>
      </c>
      <c r="D63" s="139">
        <f>-$D$8</f>
        <v>-2300000</v>
      </c>
      <c r="E63" s="139">
        <v>0</v>
      </c>
      <c r="F63" s="139">
        <v>0</v>
      </c>
      <c r="G63" s="139">
        <v>0</v>
      </c>
      <c r="H63" s="139">
        <v>0</v>
      </c>
      <c r="I63" s="139">
        <f>$D$24</f>
        <v>97500</v>
      </c>
      <c r="J63" s="22"/>
    </row>
    <row r="64" spans="2:10" ht="15.75" customHeight="1" thickBot="1" x14ac:dyDescent="0.25">
      <c r="B64" s="70"/>
      <c r="C64" s="19" t="s">
        <v>120</v>
      </c>
      <c r="D64" s="159">
        <f t="shared" ref="D64:I64" si="1">D61+D62+D63</f>
        <v>-2430000</v>
      </c>
      <c r="E64" s="160">
        <f t="shared" si="1"/>
        <v>673402.01114652306</v>
      </c>
      <c r="F64" s="160">
        <f t="shared" si="1"/>
        <v>673402.01114652306</v>
      </c>
      <c r="G64" s="160">
        <f t="shared" si="1"/>
        <v>673402.01114652306</v>
      </c>
      <c r="H64" s="160">
        <f t="shared" si="1"/>
        <v>673402.01114652306</v>
      </c>
      <c r="I64" s="160">
        <f t="shared" si="1"/>
        <v>900902.01114652306</v>
      </c>
      <c r="J64" s="22"/>
    </row>
    <row r="65" spans="2:10" ht="15.75" customHeight="1" thickTop="1" x14ac:dyDescent="0.2">
      <c r="B65" s="70"/>
      <c r="C65" s="19"/>
      <c r="D65" s="141"/>
      <c r="E65" s="141"/>
      <c r="F65" s="141"/>
      <c r="G65" s="141"/>
      <c r="H65" s="141"/>
      <c r="I65" s="141"/>
      <c r="J65" s="22"/>
    </row>
    <row r="66" spans="2:10" ht="15.75" customHeight="1" x14ac:dyDescent="0.25">
      <c r="B66" s="70"/>
      <c r="C66" s="19" t="s">
        <v>121</v>
      </c>
      <c r="D66" s="138">
        <f>NPV(D15,E64:I64)+D64</f>
        <v>0</v>
      </c>
      <c r="E66" s="169"/>
      <c r="F66" s="147"/>
      <c r="G66" s="147"/>
      <c r="H66" s="147"/>
      <c r="I66" s="147"/>
      <c r="J66" s="22"/>
    </row>
    <row r="67" spans="2:10" ht="15.75" customHeight="1" x14ac:dyDescent="0.25">
      <c r="B67" s="70"/>
      <c r="C67" s="19"/>
      <c r="D67" s="161"/>
      <c r="E67" s="147"/>
      <c r="F67" s="147"/>
      <c r="G67" s="147"/>
      <c r="H67" s="147"/>
      <c r="I67" s="147"/>
      <c r="J67" s="22"/>
    </row>
    <row r="68" spans="2:10" ht="15.75" customHeight="1" x14ac:dyDescent="0.2">
      <c r="B68" s="166" t="s">
        <v>132</v>
      </c>
      <c r="C68" s="19" t="s">
        <v>84</v>
      </c>
      <c r="D68" s="141">
        <f>PV($D$15,$D$17,0,-($D$13+$D$24))+$D$41</f>
        <v>-2311843.6288581421</v>
      </c>
      <c r="E68" s="147"/>
      <c r="F68" s="147"/>
      <c r="G68" s="147"/>
      <c r="H68" s="147"/>
      <c r="I68" s="147"/>
      <c r="J68" s="22"/>
    </row>
    <row r="69" spans="2:10" ht="15.75" customHeight="1" x14ac:dyDescent="0.2">
      <c r="B69" s="70"/>
      <c r="C69" s="19" t="s">
        <v>93</v>
      </c>
      <c r="D69" s="167">
        <f>PMT(D15,D17,D68,0,0)</f>
        <v>673402.01114652317</v>
      </c>
      <c r="E69" s="147"/>
      <c r="F69" s="147"/>
      <c r="G69" s="147"/>
      <c r="H69" s="147"/>
      <c r="I69" s="147"/>
      <c r="J69" s="22"/>
    </row>
    <row r="70" spans="2:10" ht="15.75" customHeight="1" x14ac:dyDescent="0.25">
      <c r="B70" s="70"/>
      <c r="C70" s="19" t="s">
        <v>133</v>
      </c>
      <c r="D70" s="170">
        <f>-(((D69-(D14*(D8/D17)))/(1-D14))-((D18-D12)*D7))</f>
        <v>655439.21362073359</v>
      </c>
      <c r="E70" s="147"/>
      <c r="F70" s="147"/>
      <c r="G70" s="147"/>
      <c r="H70" s="147"/>
      <c r="I70" s="147"/>
      <c r="J70" s="22"/>
    </row>
    <row r="71" spans="2:10" ht="15.75" customHeight="1" x14ac:dyDescent="0.25">
      <c r="B71" s="70"/>
      <c r="C71" s="19"/>
      <c r="D71" s="161"/>
      <c r="E71" s="147"/>
      <c r="F71" s="147"/>
      <c r="G71" s="147"/>
      <c r="H71" s="147"/>
      <c r="I71" s="147"/>
      <c r="J71" s="22"/>
    </row>
    <row r="72" spans="2:10" ht="15.75" customHeight="1" x14ac:dyDescent="0.2">
      <c r="B72" s="70"/>
      <c r="C72" s="157" t="s">
        <v>24</v>
      </c>
      <c r="D72" s="156">
        <v>0</v>
      </c>
      <c r="E72" s="156">
        <v>1</v>
      </c>
      <c r="F72" s="156">
        <v>2</v>
      </c>
      <c r="G72" s="156">
        <v>3</v>
      </c>
      <c r="H72" s="156">
        <v>4</v>
      </c>
      <c r="I72" s="156">
        <v>5</v>
      </c>
      <c r="J72" s="22"/>
    </row>
    <row r="73" spans="2:10" ht="15.75" customHeight="1" x14ac:dyDescent="0.2">
      <c r="B73" s="70"/>
      <c r="C73" s="19" t="s">
        <v>10</v>
      </c>
      <c r="D73" s="137"/>
      <c r="E73" s="79">
        <f>$D$7*$D$18</f>
        <v>2970000</v>
      </c>
      <c r="F73" s="79">
        <f>$D$7*$D$18</f>
        <v>2970000</v>
      </c>
      <c r="G73" s="79">
        <f>$D$7*$D$18</f>
        <v>2970000</v>
      </c>
      <c r="H73" s="79">
        <f>$D$7*$D$18</f>
        <v>2970000</v>
      </c>
      <c r="I73" s="79">
        <f>$D$7*$D$18</f>
        <v>2970000</v>
      </c>
      <c r="J73" s="22"/>
    </row>
    <row r="74" spans="2:10" ht="15.75" customHeight="1" x14ac:dyDescent="0.2">
      <c r="B74" s="70"/>
      <c r="C74" s="19" t="s">
        <v>80</v>
      </c>
      <c r="D74" s="137"/>
      <c r="E74" s="80">
        <f>$D$7*$D$12</f>
        <v>1526250</v>
      </c>
      <c r="F74" s="80">
        <f>$D$7*$D$12</f>
        <v>1526250</v>
      </c>
      <c r="G74" s="80">
        <f>$D$7*$D$12</f>
        <v>1526250</v>
      </c>
      <c r="H74" s="80">
        <f>$D$7*$D$12</f>
        <v>1526250</v>
      </c>
      <c r="I74" s="80">
        <f>$D$7*$D$12</f>
        <v>1526250</v>
      </c>
      <c r="J74" s="22"/>
    </row>
    <row r="75" spans="2:10" ht="15.75" customHeight="1" x14ac:dyDescent="0.2">
      <c r="B75" s="70"/>
      <c r="C75" s="19" t="s">
        <v>81</v>
      </c>
      <c r="D75" s="137"/>
      <c r="E75" s="80">
        <f>$D$70</f>
        <v>655439.21362073359</v>
      </c>
      <c r="F75" s="80">
        <f>$D$70</f>
        <v>655439.21362073359</v>
      </c>
      <c r="G75" s="80">
        <f>$D$70</f>
        <v>655439.21362073359</v>
      </c>
      <c r="H75" s="80">
        <f>$D$70</f>
        <v>655439.21362073359</v>
      </c>
      <c r="I75" s="80">
        <f>$D$70</f>
        <v>655439.21362073359</v>
      </c>
      <c r="J75" s="22"/>
    </row>
    <row r="76" spans="2:10" ht="15.75" customHeight="1" x14ac:dyDescent="0.2">
      <c r="B76" s="70"/>
      <c r="C76" s="19" t="s">
        <v>5</v>
      </c>
      <c r="D76" s="137"/>
      <c r="E76" s="82">
        <f>$D$8/$D$17</f>
        <v>460000</v>
      </c>
      <c r="F76" s="82">
        <f>$D$8/$D$17</f>
        <v>460000</v>
      </c>
      <c r="G76" s="82">
        <f>$D$8/$D$17</f>
        <v>460000</v>
      </c>
      <c r="H76" s="82">
        <f>$D$8/$D$17</f>
        <v>460000</v>
      </c>
      <c r="I76" s="82">
        <f>$D$8/$D$17</f>
        <v>460000</v>
      </c>
      <c r="J76" s="22"/>
    </row>
    <row r="77" spans="2:10" ht="15.75" customHeight="1" x14ac:dyDescent="0.2">
      <c r="B77" s="70"/>
      <c r="C77" s="19" t="s">
        <v>114</v>
      </c>
      <c r="D77" s="137"/>
      <c r="E77" s="79">
        <f>E73-E74-E75-E76</f>
        <v>328310.78637926641</v>
      </c>
      <c r="F77" s="79">
        <f>F73-F74-F75-F76</f>
        <v>328310.78637926641</v>
      </c>
      <c r="G77" s="79">
        <f>G73-G74-G75-G76</f>
        <v>328310.78637926641</v>
      </c>
      <c r="H77" s="79">
        <f>H73-H74-H75-H76</f>
        <v>328310.78637926641</v>
      </c>
      <c r="I77" s="79">
        <f>I73-I74-I75-I76</f>
        <v>328310.78637926641</v>
      </c>
      <c r="J77" s="22"/>
    </row>
    <row r="78" spans="2:10" ht="15.75" customHeight="1" x14ac:dyDescent="0.2">
      <c r="B78" s="70"/>
      <c r="C78" s="19" t="s">
        <v>79</v>
      </c>
      <c r="D78" s="137"/>
      <c r="E78" s="82">
        <f>E77*$D$14</f>
        <v>114908.77523274324</v>
      </c>
      <c r="F78" s="82">
        <f>F77*$D$14</f>
        <v>114908.77523274324</v>
      </c>
      <c r="G78" s="82">
        <f>G77*$D$14</f>
        <v>114908.77523274324</v>
      </c>
      <c r="H78" s="82">
        <f>H77*$D$14</f>
        <v>114908.77523274324</v>
      </c>
      <c r="I78" s="82">
        <f>I77*$D$14</f>
        <v>114908.77523274324</v>
      </c>
      <c r="J78" s="22"/>
    </row>
    <row r="79" spans="2:10" ht="15.75" customHeight="1" x14ac:dyDescent="0.2">
      <c r="B79" s="70"/>
      <c r="C79" s="19" t="s">
        <v>115</v>
      </c>
      <c r="D79" s="137"/>
      <c r="E79" s="79">
        <f>E77-E78</f>
        <v>213402.01114652317</v>
      </c>
      <c r="F79" s="79">
        <f>F77-F78</f>
        <v>213402.01114652317</v>
      </c>
      <c r="G79" s="79">
        <f>G77-G78</f>
        <v>213402.01114652317</v>
      </c>
      <c r="H79" s="79">
        <f>H77-H78</f>
        <v>213402.01114652317</v>
      </c>
      <c r="I79" s="79">
        <f>I77-I78</f>
        <v>213402.01114652317</v>
      </c>
      <c r="J79" s="22"/>
    </row>
    <row r="80" spans="2:10" ht="15.75" customHeight="1" x14ac:dyDescent="0.2">
      <c r="B80" s="70"/>
      <c r="C80" s="19" t="s">
        <v>5</v>
      </c>
      <c r="D80" s="137"/>
      <c r="E80" s="80">
        <f>E76</f>
        <v>460000</v>
      </c>
      <c r="F80" s="80">
        <f>F76</f>
        <v>460000</v>
      </c>
      <c r="G80" s="80">
        <f>G76</f>
        <v>460000</v>
      </c>
      <c r="H80" s="80">
        <f>H76</f>
        <v>460000</v>
      </c>
      <c r="I80" s="80">
        <f>I76</f>
        <v>460000</v>
      </c>
      <c r="J80" s="22"/>
    </row>
    <row r="81" spans="2:10" ht="15.75" customHeight="1" thickBot="1" x14ac:dyDescent="0.25">
      <c r="B81" s="70"/>
      <c r="C81" s="19" t="s">
        <v>116</v>
      </c>
      <c r="D81" s="137"/>
      <c r="E81" s="126">
        <f>E79+E80</f>
        <v>673402.01114652317</v>
      </c>
      <c r="F81" s="126">
        <f>F79+F80</f>
        <v>673402.01114652317</v>
      </c>
      <c r="G81" s="126">
        <f>G79+G80</f>
        <v>673402.01114652317</v>
      </c>
      <c r="H81" s="126">
        <f>H79+H80</f>
        <v>673402.01114652317</v>
      </c>
      <c r="I81" s="126">
        <f>I79+I80</f>
        <v>673402.01114652317</v>
      </c>
      <c r="J81" s="22"/>
    </row>
    <row r="82" spans="2:10" ht="15.75" customHeight="1" thickTop="1" x14ac:dyDescent="0.2">
      <c r="B82" s="70"/>
      <c r="C82" s="19"/>
      <c r="D82" s="137"/>
      <c r="E82" s="79"/>
      <c r="F82" s="79"/>
      <c r="G82" s="79"/>
      <c r="H82" s="79"/>
      <c r="I82" s="79"/>
      <c r="J82" s="22"/>
    </row>
    <row r="83" spans="2:10" ht="15.75" customHeight="1" x14ac:dyDescent="0.2">
      <c r="B83" s="70"/>
      <c r="C83" s="158" t="s">
        <v>117</v>
      </c>
      <c r="D83" s="141"/>
      <c r="E83" s="141"/>
      <c r="F83" s="141"/>
      <c r="G83" s="141"/>
      <c r="H83" s="141"/>
      <c r="I83" s="141"/>
      <c r="J83" s="22"/>
    </row>
    <row r="84" spans="2:10" ht="15.75" customHeight="1" x14ac:dyDescent="0.2">
      <c r="B84" s="70"/>
      <c r="C84" s="19" t="s">
        <v>116</v>
      </c>
      <c r="D84" s="96">
        <v>0</v>
      </c>
      <c r="E84" s="96">
        <f>E81</f>
        <v>673402.01114652317</v>
      </c>
      <c r="F84" s="96">
        <f>F81</f>
        <v>673402.01114652317</v>
      </c>
      <c r="G84" s="96">
        <f>G81</f>
        <v>673402.01114652317</v>
      </c>
      <c r="H84" s="96">
        <f>H81</f>
        <v>673402.01114652317</v>
      </c>
      <c r="I84" s="96">
        <f>I81</f>
        <v>673402.01114652317</v>
      </c>
      <c r="J84" s="22"/>
    </row>
    <row r="85" spans="2:10" ht="15.75" customHeight="1" x14ac:dyDescent="0.2">
      <c r="B85" s="70"/>
      <c r="C85" s="19" t="s">
        <v>118</v>
      </c>
      <c r="D85" s="139">
        <f>-$D$13</f>
        <v>-130000</v>
      </c>
      <c r="E85" s="139">
        <f>(E73-F73)</f>
        <v>0</v>
      </c>
      <c r="F85" s="139">
        <f>(F73-G73)</f>
        <v>0</v>
      </c>
      <c r="G85" s="139">
        <f>(G73-H73)</f>
        <v>0</v>
      </c>
      <c r="H85" s="139">
        <f>(H73-I73)</f>
        <v>0</v>
      </c>
      <c r="I85" s="139">
        <f>-D85</f>
        <v>130000</v>
      </c>
      <c r="J85" s="22"/>
    </row>
    <row r="86" spans="2:10" ht="15.75" customHeight="1" x14ac:dyDescent="0.2">
      <c r="B86" s="70"/>
      <c r="C86" s="19" t="s">
        <v>119</v>
      </c>
      <c r="D86" s="139">
        <f>-$D$8</f>
        <v>-2300000</v>
      </c>
      <c r="E86" s="139">
        <v>0</v>
      </c>
      <c r="F86" s="139">
        <v>0</v>
      </c>
      <c r="G86" s="139">
        <v>0</v>
      </c>
      <c r="H86" s="139">
        <v>0</v>
      </c>
      <c r="I86" s="139">
        <f>$D$24</f>
        <v>97500</v>
      </c>
      <c r="J86" s="22"/>
    </row>
    <row r="87" spans="2:10" ht="15.75" customHeight="1" thickBot="1" x14ac:dyDescent="0.25">
      <c r="B87" s="70"/>
      <c r="C87" s="19" t="s">
        <v>120</v>
      </c>
      <c r="D87" s="159">
        <f t="shared" ref="D87:I87" si="2">D84+D85+D86</f>
        <v>-2430000</v>
      </c>
      <c r="E87" s="160">
        <f t="shared" si="2"/>
        <v>673402.01114652317</v>
      </c>
      <c r="F87" s="160">
        <f t="shared" si="2"/>
        <v>673402.01114652317</v>
      </c>
      <c r="G87" s="160">
        <f t="shared" si="2"/>
        <v>673402.01114652317</v>
      </c>
      <c r="H87" s="160">
        <f t="shared" si="2"/>
        <v>673402.01114652317</v>
      </c>
      <c r="I87" s="160">
        <f t="shared" si="2"/>
        <v>900902.01114652317</v>
      </c>
      <c r="J87" s="22"/>
    </row>
    <row r="88" spans="2:10" ht="15.75" customHeight="1" thickTop="1" x14ac:dyDescent="0.2">
      <c r="B88" s="70"/>
      <c r="C88" s="19"/>
      <c r="D88" s="141"/>
      <c r="E88" s="141"/>
      <c r="F88" s="141"/>
      <c r="G88" s="141"/>
      <c r="H88" s="141"/>
      <c r="I88" s="141"/>
      <c r="J88" s="22"/>
    </row>
    <row r="89" spans="2:10" ht="15.75" customHeight="1" x14ac:dyDescent="0.25">
      <c r="B89" s="70"/>
      <c r="C89" s="19" t="s">
        <v>121</v>
      </c>
      <c r="D89" s="138">
        <f>NPV(D15,E87:I87)+D87</f>
        <v>0</v>
      </c>
      <c r="E89" s="147"/>
      <c r="F89" s="147"/>
      <c r="G89" s="147"/>
      <c r="H89" s="147"/>
      <c r="I89" s="147"/>
      <c r="J89" s="22"/>
    </row>
    <row r="90" spans="2:10" ht="15.75" customHeight="1" thickBot="1" x14ac:dyDescent="0.25">
      <c r="B90" s="71"/>
      <c r="C90" s="53"/>
      <c r="D90" s="53"/>
      <c r="E90" s="53"/>
      <c r="F90" s="53"/>
      <c r="G90" s="53"/>
      <c r="H90" s="53"/>
      <c r="I90" s="53"/>
      <c r="J90" s="51"/>
    </row>
    <row r="91" spans="2:10" ht="15.75" customHeight="1" x14ac:dyDescent="0.2"/>
    <row r="92" spans="2:10" ht="15.75" customHeight="1" x14ac:dyDescent="0.2"/>
    <row r="93" spans="2:10" ht="15.75" customHeight="1" x14ac:dyDescent="0.2"/>
    <row r="94" spans="2:10" ht="15.75" customHeight="1" x14ac:dyDescent="0.2"/>
    <row r="95" spans="2:10" ht="15.75" customHeight="1" x14ac:dyDescent="0.2"/>
    <row r="96" spans="2:10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</sheetData>
  <phoneticPr fontId="0" type="noConversion"/>
  <pageMargins left="0.75" right="0.75" top="1" bottom="1" header="0.5" footer="0.5"/>
  <pageSetup scale="56" orientation="portrait" horizontalDpi="360" verticalDpi="360" r:id="rId1"/>
  <headerFooter alignWithMargins="0"/>
  <rowBreaks count="1" manualBreakCount="1">
    <brk id="71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3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7" width="19.42578125" customWidth="1"/>
    <col min="8" max="8" width="4.7109375" customWidth="1"/>
  </cols>
  <sheetData>
    <row r="1" spans="2:7" ht="18" x14ac:dyDescent="0.25">
      <c r="C1" s="1" t="s">
        <v>434</v>
      </c>
    </row>
    <row r="2" spans="2:7" ht="15.75" customHeight="1" x14ac:dyDescent="0.2">
      <c r="C2" s="3" t="s">
        <v>322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164</v>
      </c>
      <c r="D7" s="144">
        <v>15000</v>
      </c>
      <c r="E7" s="9"/>
      <c r="G7" s="57"/>
    </row>
    <row r="8" spans="2:7" ht="15.75" customHeight="1" x14ac:dyDescent="0.2">
      <c r="B8" s="8"/>
      <c r="C8" s="13" t="s">
        <v>165</v>
      </c>
      <c r="D8" s="84">
        <v>3400000</v>
      </c>
      <c r="E8" s="9"/>
      <c r="G8" s="57"/>
    </row>
    <row r="9" spans="2:7" ht="15.75" customHeight="1" x14ac:dyDescent="0.2">
      <c r="B9" s="8"/>
      <c r="C9" s="13" t="s">
        <v>91</v>
      </c>
      <c r="D9" s="84">
        <v>75000</v>
      </c>
      <c r="E9" s="9"/>
      <c r="G9" s="57"/>
    </row>
    <row r="10" spans="2:7" ht="15.75" customHeight="1" x14ac:dyDescent="0.2">
      <c r="B10" s="8"/>
      <c r="C10" s="13" t="s">
        <v>51</v>
      </c>
      <c r="D10" s="84">
        <v>200000</v>
      </c>
      <c r="E10" s="9"/>
      <c r="G10" s="57"/>
    </row>
    <row r="11" spans="2:7" ht="15.75" customHeight="1" x14ac:dyDescent="0.2">
      <c r="B11" s="8"/>
      <c r="C11" s="13" t="s">
        <v>81</v>
      </c>
      <c r="D11" s="84">
        <v>700000</v>
      </c>
      <c r="E11" s="9"/>
    </row>
    <row r="12" spans="2:7" ht="15.75" customHeight="1" x14ac:dyDescent="0.2">
      <c r="B12" s="8"/>
      <c r="C12" s="13" t="s">
        <v>166</v>
      </c>
      <c r="D12" s="84">
        <v>48</v>
      </c>
      <c r="E12" s="9"/>
    </row>
    <row r="13" spans="2:7" ht="15.75" customHeight="1" x14ac:dyDescent="0.2">
      <c r="B13" s="8"/>
      <c r="C13" s="13" t="s">
        <v>167</v>
      </c>
      <c r="D13" s="90">
        <v>4000</v>
      </c>
      <c r="E13" s="9"/>
    </row>
    <row r="14" spans="2:7" ht="15.75" customHeight="1" x14ac:dyDescent="0.2">
      <c r="B14" s="8"/>
      <c r="C14" s="13" t="s">
        <v>168</v>
      </c>
      <c r="D14" s="90">
        <v>12000</v>
      </c>
      <c r="E14" s="9"/>
    </row>
    <row r="15" spans="2:7" ht="15.75" customHeight="1" x14ac:dyDescent="0.2">
      <c r="B15" s="8"/>
      <c r="C15" s="13" t="s">
        <v>169</v>
      </c>
      <c r="D15" s="90">
        <v>14000</v>
      </c>
      <c r="E15" s="9"/>
    </row>
    <row r="16" spans="2:7" ht="15.75" customHeight="1" x14ac:dyDescent="0.2">
      <c r="B16" s="8"/>
      <c r="C16" s="13" t="s">
        <v>170</v>
      </c>
      <c r="D16" s="90">
        <v>7000</v>
      </c>
      <c r="E16" s="9"/>
    </row>
    <row r="17" spans="2:8" ht="15.75" customHeight="1" x14ac:dyDescent="0.2">
      <c r="B17" s="8"/>
      <c r="C17" s="13" t="s">
        <v>171</v>
      </c>
      <c r="D17" s="84">
        <v>145</v>
      </c>
      <c r="E17" s="9"/>
    </row>
    <row r="18" spans="2:8" ht="15.75" customHeight="1" x14ac:dyDescent="0.2">
      <c r="B18" s="8"/>
      <c r="C18" s="13" t="s">
        <v>6</v>
      </c>
      <c r="D18" s="152">
        <v>0.4</v>
      </c>
      <c r="E18" s="9"/>
    </row>
    <row r="19" spans="2:8" ht="15.75" customHeight="1" x14ac:dyDescent="0.2">
      <c r="B19" s="8"/>
      <c r="C19" s="13" t="s">
        <v>20</v>
      </c>
      <c r="D19" s="152">
        <v>0.13</v>
      </c>
      <c r="E19" s="9"/>
    </row>
    <row r="20" spans="2:8" ht="15.75" customHeight="1" x14ac:dyDescent="0.2">
      <c r="B20" s="8"/>
      <c r="C20" s="13" t="s">
        <v>172</v>
      </c>
      <c r="D20" s="84">
        <v>100000</v>
      </c>
      <c r="E20" s="9"/>
    </row>
    <row r="21" spans="2:8" ht="15.75" customHeight="1" thickBot="1" x14ac:dyDescent="0.25">
      <c r="B21" s="10"/>
      <c r="C21" s="65"/>
      <c r="D21" s="65"/>
      <c r="E21" s="12"/>
    </row>
    <row r="22" spans="2:8" ht="15.75" customHeight="1" x14ac:dyDescent="0.2">
      <c r="B22" s="64"/>
      <c r="E22" s="64"/>
    </row>
    <row r="23" spans="2:8" ht="15.75" customHeight="1" x14ac:dyDescent="0.2">
      <c r="C23" s="2" t="s">
        <v>2</v>
      </c>
    </row>
    <row r="24" spans="2:8" ht="15.75" customHeight="1" thickBot="1" x14ac:dyDescent="0.25"/>
    <row r="25" spans="2:8" ht="15.75" customHeight="1" x14ac:dyDescent="0.2">
      <c r="B25" s="68"/>
      <c r="C25" s="69"/>
      <c r="D25" s="69"/>
      <c r="E25" s="69"/>
      <c r="F25" s="69"/>
      <c r="G25" s="69"/>
      <c r="H25" s="155"/>
    </row>
    <row r="26" spans="2:8" ht="15.75" customHeight="1" x14ac:dyDescent="0.2">
      <c r="B26" s="70"/>
      <c r="C26" s="19" t="s">
        <v>173</v>
      </c>
      <c r="D26" s="219">
        <v>1</v>
      </c>
      <c r="E26" s="220">
        <v>2</v>
      </c>
      <c r="F26" s="220">
        <v>3</v>
      </c>
      <c r="G26" s="220">
        <v>4</v>
      </c>
      <c r="H26" s="22"/>
    </row>
    <row r="27" spans="2:8" ht="15.75" customHeight="1" x14ac:dyDescent="0.2">
      <c r="B27" s="70"/>
      <c r="C27" s="19" t="s">
        <v>10</v>
      </c>
      <c r="D27" s="96">
        <f>D13*D17</f>
        <v>580000</v>
      </c>
      <c r="E27" s="96">
        <f>D14*D17</f>
        <v>1740000</v>
      </c>
      <c r="F27" s="96">
        <f>D15*D17</f>
        <v>2030000</v>
      </c>
      <c r="G27" s="96">
        <f>D16*D17</f>
        <v>1015000</v>
      </c>
      <c r="H27" s="22"/>
    </row>
    <row r="28" spans="2:8" ht="15.75" customHeight="1" x14ac:dyDescent="0.2">
      <c r="B28" s="166"/>
      <c r="C28" s="19" t="s">
        <v>80</v>
      </c>
      <c r="D28" s="222">
        <f>D13*D12</f>
        <v>192000</v>
      </c>
      <c r="E28" s="222">
        <f>D14*D12</f>
        <v>576000</v>
      </c>
      <c r="F28" s="222">
        <f>D15*D12</f>
        <v>672000</v>
      </c>
      <c r="G28" s="222">
        <f>D16*D12</f>
        <v>336000</v>
      </c>
      <c r="H28" s="22"/>
    </row>
    <row r="29" spans="2:8" ht="15.75" customHeight="1" x14ac:dyDescent="0.2">
      <c r="B29" s="70"/>
      <c r="C29" s="19" t="s">
        <v>8</v>
      </c>
      <c r="D29" s="96">
        <f>D27-D28</f>
        <v>388000</v>
      </c>
      <c r="E29" s="96">
        <f>E27-E28</f>
        <v>1164000</v>
      </c>
      <c r="F29" s="96">
        <f>F27-F28</f>
        <v>1358000</v>
      </c>
      <c r="G29" s="96">
        <f>G27-G28</f>
        <v>679000</v>
      </c>
      <c r="H29" s="22"/>
    </row>
    <row r="30" spans="2:8" ht="15.75" customHeight="1" x14ac:dyDescent="0.2">
      <c r="B30" s="70"/>
      <c r="C30" s="19" t="s">
        <v>155</v>
      </c>
      <c r="D30" s="139">
        <f>D29*$D$18</f>
        <v>155200</v>
      </c>
      <c r="E30" s="139">
        <f>E29*$D$18</f>
        <v>465600</v>
      </c>
      <c r="F30" s="139">
        <f>F29*$D$18</f>
        <v>543200</v>
      </c>
      <c r="G30" s="139">
        <f>G29*$D$18</f>
        <v>271600</v>
      </c>
      <c r="H30" s="22"/>
    </row>
    <row r="31" spans="2:8" ht="15.75" customHeight="1" thickBot="1" x14ac:dyDescent="0.25">
      <c r="B31" s="70"/>
      <c r="C31" s="19" t="s">
        <v>174</v>
      </c>
      <c r="D31" s="159">
        <f>D29-D30</f>
        <v>232800</v>
      </c>
      <c r="E31" s="159">
        <f>E29-E30</f>
        <v>698400</v>
      </c>
      <c r="F31" s="159">
        <f>F29-F30</f>
        <v>814800</v>
      </c>
      <c r="G31" s="159">
        <f>G29-G30</f>
        <v>407400</v>
      </c>
      <c r="H31" s="22"/>
    </row>
    <row r="32" spans="2:8" ht="15.75" customHeight="1" thickTop="1" x14ac:dyDescent="0.2">
      <c r="B32" s="70"/>
      <c r="C32" s="19"/>
      <c r="D32" s="221"/>
      <c r="E32" s="139"/>
      <c r="F32" s="139"/>
      <c r="G32" s="139"/>
      <c r="H32" s="22"/>
    </row>
    <row r="33" spans="2:8" ht="15.75" customHeight="1" x14ac:dyDescent="0.2">
      <c r="B33" s="70"/>
      <c r="C33" s="19" t="s">
        <v>175</v>
      </c>
      <c r="D33" s="86">
        <f>NPV(D19,D31,E31,F31,G31)</f>
        <v>1567530.6646637479</v>
      </c>
      <c r="E33" s="80"/>
      <c r="F33" s="80"/>
      <c r="G33" s="80"/>
      <c r="H33" s="22"/>
    </row>
    <row r="34" spans="2:8" ht="15.75" customHeight="1" x14ac:dyDescent="0.2">
      <c r="B34" s="70"/>
      <c r="C34" s="19" t="s">
        <v>31</v>
      </c>
      <c r="D34" s="79">
        <f>D8+D9</f>
        <v>3475000</v>
      </c>
      <c r="E34" s="80"/>
      <c r="F34" s="80"/>
      <c r="G34" s="80"/>
      <c r="H34" s="22"/>
    </row>
    <row r="35" spans="2:8" ht="15.75" customHeight="1" x14ac:dyDescent="0.2">
      <c r="B35" s="70"/>
      <c r="C35" s="19" t="s">
        <v>28</v>
      </c>
      <c r="D35" s="79">
        <f>D10*(1-D18)</f>
        <v>120000</v>
      </c>
      <c r="E35" s="80"/>
      <c r="F35" s="80"/>
      <c r="G35" s="80"/>
      <c r="H35" s="22"/>
    </row>
    <row r="36" spans="2:8" ht="15.75" customHeight="1" x14ac:dyDescent="0.2">
      <c r="B36" s="70"/>
      <c r="C36" s="19"/>
      <c r="D36" s="137"/>
      <c r="E36" s="79"/>
      <c r="F36" s="79"/>
      <c r="G36" s="79"/>
      <c r="H36" s="22"/>
    </row>
    <row r="37" spans="2:8" ht="15.75" customHeight="1" x14ac:dyDescent="0.2">
      <c r="B37" s="70"/>
      <c r="C37" s="19" t="s">
        <v>176</v>
      </c>
      <c r="D37" s="223">
        <f>D20+D34-D33+PV(D19,4,0,D35+D9)</f>
        <v>1887872.1834387737</v>
      </c>
      <c r="E37" s="79"/>
      <c r="F37" s="79"/>
      <c r="G37" s="79"/>
      <c r="H37" s="22"/>
    </row>
    <row r="38" spans="2:8" ht="15.75" customHeight="1" x14ac:dyDescent="0.2">
      <c r="B38" s="70"/>
      <c r="C38" s="19" t="s">
        <v>11</v>
      </c>
      <c r="D38" s="141">
        <f>PMT(D19,4,-D37)</f>
        <v>634691.67351746873</v>
      </c>
      <c r="E38" s="141"/>
      <c r="F38" s="141"/>
      <c r="G38" s="141"/>
      <c r="H38" s="22"/>
    </row>
    <row r="39" spans="2:8" ht="15.75" customHeight="1" x14ac:dyDescent="0.2">
      <c r="B39" s="70"/>
      <c r="C39" s="19"/>
      <c r="D39" s="141"/>
      <c r="E39" s="96"/>
      <c r="F39" s="96"/>
      <c r="G39" s="96"/>
      <c r="H39" s="22"/>
    </row>
    <row r="40" spans="2:8" ht="15.75" customHeight="1" x14ac:dyDescent="0.25">
      <c r="B40" s="70"/>
      <c r="C40" s="19" t="s">
        <v>95</v>
      </c>
      <c r="D40" s="138">
        <f>((((D38-(D8/4)*D18)/(1-D18))+D11)/D7)+D12</f>
        <v>127.41018594638541</v>
      </c>
      <c r="E40" s="139"/>
      <c r="F40" s="139"/>
      <c r="G40" s="139"/>
      <c r="H40" s="22"/>
    </row>
    <row r="41" spans="2:8" ht="15.75" customHeight="1" thickBot="1" x14ac:dyDescent="0.25">
      <c r="B41" s="71"/>
      <c r="C41" s="53"/>
      <c r="D41" s="53"/>
      <c r="E41" s="53"/>
      <c r="F41" s="53"/>
      <c r="G41" s="53"/>
      <c r="H41" s="51"/>
    </row>
    <row r="42" spans="2:8" ht="15.75" customHeight="1" x14ac:dyDescent="0.2"/>
    <row r="43" spans="2:8" ht="15.75" customHeight="1" x14ac:dyDescent="0.2"/>
    <row r="44" spans="2:8" ht="15.75" customHeight="1" x14ac:dyDescent="0.2"/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phoneticPr fontId="0" type="noConversion"/>
  <pageMargins left="0.75" right="0.75" top="1" bottom="1" header="0.5" footer="0.5"/>
  <pageSetup scale="74" orientation="landscape" horizontalDpi="360" verticalDpi="36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7.28515625" bestFit="1" customWidth="1"/>
    <col min="4" max="4" width="18.140625" customWidth="1"/>
    <col min="5" max="5" width="3.140625" customWidth="1"/>
    <col min="6" max="6" width="18.140625" customWidth="1"/>
    <col min="7" max="7" width="17.7109375" customWidth="1"/>
    <col min="8" max="8" width="18.28515625" customWidth="1"/>
    <col min="9" max="9" width="18.140625" customWidth="1"/>
    <col min="10" max="10" width="18.42578125" customWidth="1"/>
    <col min="11" max="11" width="3.28515625" customWidth="1"/>
  </cols>
  <sheetData>
    <row r="1" spans="1:10" ht="18" x14ac:dyDescent="0.25">
      <c r="A1" s="3"/>
      <c r="B1" s="3"/>
      <c r="C1" s="1" t="s">
        <v>434</v>
      </c>
      <c r="D1" s="3"/>
      <c r="E1" s="3"/>
      <c r="F1" s="3"/>
      <c r="G1" s="3"/>
      <c r="H1" s="3"/>
      <c r="I1" s="3"/>
      <c r="J1" s="3"/>
    </row>
    <row r="2" spans="1:10" ht="15.75" customHeight="1" x14ac:dyDescent="0.2">
      <c r="A2" s="3"/>
      <c r="B2" s="3"/>
      <c r="C2" s="3" t="s">
        <v>325</v>
      </c>
      <c r="D2" s="3"/>
      <c r="E2" s="3"/>
      <c r="F2" s="3"/>
      <c r="G2" s="3"/>
      <c r="H2" s="3"/>
      <c r="I2" s="3"/>
      <c r="J2" s="3"/>
    </row>
    <row r="3" spans="1:10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">
      <c r="A4" s="3"/>
      <c r="B4" s="3"/>
      <c r="C4" s="2" t="s">
        <v>135</v>
      </c>
      <c r="D4" s="3"/>
      <c r="E4" s="3"/>
      <c r="F4" s="3"/>
      <c r="G4" s="3"/>
      <c r="H4" s="3"/>
      <c r="I4" s="3"/>
      <c r="J4" s="3"/>
    </row>
    <row r="5" spans="1:10" ht="15.7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">
      <c r="A6" s="3"/>
      <c r="B6" s="110"/>
      <c r="C6" s="111"/>
      <c r="D6" s="173"/>
      <c r="E6" s="112"/>
      <c r="F6" s="3"/>
      <c r="G6" s="3"/>
      <c r="H6" s="3"/>
      <c r="I6" s="3"/>
      <c r="J6" s="3"/>
    </row>
    <row r="7" spans="1:10" ht="15.75" customHeight="1" x14ac:dyDescent="0.2">
      <c r="A7" s="3"/>
      <c r="B7" s="113"/>
      <c r="C7" s="114" t="s">
        <v>136</v>
      </c>
      <c r="D7" s="174">
        <v>450000</v>
      </c>
      <c r="E7" s="115"/>
      <c r="F7" s="3"/>
      <c r="G7" s="3"/>
      <c r="H7" s="3"/>
      <c r="I7" s="3"/>
      <c r="J7" s="3"/>
    </row>
    <row r="8" spans="1:10" ht="15.75" customHeight="1" x14ac:dyDescent="0.2">
      <c r="A8" s="3"/>
      <c r="B8" s="113"/>
      <c r="C8" s="114" t="s">
        <v>137</v>
      </c>
      <c r="D8" s="174">
        <v>580000</v>
      </c>
      <c r="E8" s="115"/>
      <c r="F8" s="3"/>
      <c r="G8" s="3"/>
      <c r="H8" s="3"/>
      <c r="I8" s="3"/>
      <c r="J8" s="3"/>
    </row>
    <row r="9" spans="1:10" ht="15.75" customHeight="1" x14ac:dyDescent="0.2">
      <c r="A9" s="3"/>
      <c r="B9" s="113"/>
      <c r="C9" s="114" t="s">
        <v>450</v>
      </c>
      <c r="D9" s="174">
        <v>130000</v>
      </c>
      <c r="E9" s="115"/>
      <c r="F9" s="3"/>
      <c r="G9" s="3"/>
      <c r="H9" s="3"/>
      <c r="I9" s="3"/>
      <c r="J9" s="3"/>
    </row>
    <row r="10" spans="1:10" ht="15.75" customHeight="1" x14ac:dyDescent="0.2">
      <c r="A10" s="3"/>
      <c r="B10" s="113"/>
      <c r="C10" s="114" t="s">
        <v>138</v>
      </c>
      <c r="D10" s="175">
        <v>5</v>
      </c>
      <c r="E10" s="115"/>
      <c r="F10" s="3"/>
      <c r="G10" s="3"/>
      <c r="H10" s="3"/>
      <c r="I10" s="3"/>
      <c r="J10" s="3"/>
    </row>
    <row r="11" spans="1:10" ht="15.75" customHeight="1" x14ac:dyDescent="0.2">
      <c r="A11" s="3"/>
      <c r="B11" s="113"/>
      <c r="C11" s="114" t="s">
        <v>139</v>
      </c>
      <c r="D11" s="394">
        <f>D7/D10</f>
        <v>90000</v>
      </c>
      <c r="E11" s="115"/>
      <c r="F11" s="3"/>
      <c r="G11" s="3"/>
      <c r="H11" s="3"/>
      <c r="I11" s="3"/>
      <c r="J11" s="3"/>
    </row>
    <row r="12" spans="1:10" ht="15.75" customHeight="1" x14ac:dyDescent="0.2">
      <c r="A12" s="3"/>
      <c r="B12" s="113"/>
      <c r="C12" s="114" t="s">
        <v>444</v>
      </c>
      <c r="D12" s="394">
        <f>D7-(2*D11)</f>
        <v>270000</v>
      </c>
      <c r="E12" s="115"/>
      <c r="F12" s="3"/>
      <c r="G12" s="3"/>
      <c r="H12" s="3"/>
      <c r="I12" s="3"/>
      <c r="J12" s="3"/>
    </row>
    <row r="13" spans="1:10" ht="15.75" customHeight="1" x14ac:dyDescent="0.2">
      <c r="A13" s="3"/>
      <c r="B13" s="113"/>
      <c r="C13" s="114" t="s">
        <v>140</v>
      </c>
      <c r="D13" s="174">
        <v>230000</v>
      </c>
      <c r="E13" s="115"/>
      <c r="F13" s="3"/>
      <c r="G13" s="3"/>
      <c r="H13" s="3"/>
      <c r="I13" s="3"/>
      <c r="J13" s="3"/>
    </row>
    <row r="14" spans="1:10" ht="15.75" customHeight="1" x14ac:dyDescent="0.2">
      <c r="A14" s="3"/>
      <c r="B14" s="113"/>
      <c r="C14" s="114" t="s">
        <v>141</v>
      </c>
      <c r="D14" s="174">
        <v>60000</v>
      </c>
      <c r="E14" s="115"/>
      <c r="F14" s="3"/>
      <c r="G14" s="3"/>
      <c r="H14" s="3"/>
      <c r="I14" s="3"/>
      <c r="J14" s="3"/>
    </row>
    <row r="15" spans="1:10" ht="15.75" customHeight="1" x14ac:dyDescent="0.2">
      <c r="A15" s="3"/>
      <c r="B15" s="113"/>
      <c r="C15" s="114" t="s">
        <v>142</v>
      </c>
      <c r="D15" s="174">
        <v>85000</v>
      </c>
      <c r="E15" s="115"/>
      <c r="F15" s="3"/>
      <c r="G15" s="3"/>
      <c r="H15" s="3"/>
      <c r="I15" s="3"/>
      <c r="J15" s="3"/>
    </row>
    <row r="16" spans="1:10" ht="15.75" customHeight="1" x14ac:dyDescent="0.2">
      <c r="A16" s="3"/>
      <c r="B16" s="113"/>
      <c r="C16" s="114" t="s">
        <v>32</v>
      </c>
      <c r="D16" s="152">
        <v>0.14000000000000001</v>
      </c>
      <c r="E16" s="115"/>
      <c r="F16" s="3"/>
      <c r="G16" s="3"/>
      <c r="H16" s="3"/>
      <c r="I16" s="3"/>
      <c r="J16" s="3"/>
    </row>
    <row r="17" spans="1:11" ht="15.75" customHeight="1" x14ac:dyDescent="0.2">
      <c r="A17" s="3"/>
      <c r="B17" s="113"/>
      <c r="C17" s="114" t="s">
        <v>6</v>
      </c>
      <c r="D17" s="152">
        <v>0.38</v>
      </c>
      <c r="E17" s="115"/>
      <c r="F17" s="3"/>
      <c r="G17" s="3"/>
      <c r="H17" s="3"/>
      <c r="I17" s="3"/>
      <c r="J17" s="3"/>
    </row>
    <row r="18" spans="1:11" ht="15.75" customHeight="1" thickBot="1" x14ac:dyDescent="0.25">
      <c r="A18" s="3"/>
      <c r="B18" s="116"/>
      <c r="C18" s="117"/>
      <c r="D18" s="176"/>
      <c r="E18" s="42"/>
      <c r="F18" s="3"/>
      <c r="G18" s="3"/>
      <c r="H18" s="3"/>
      <c r="I18" s="3"/>
      <c r="J18" s="3"/>
    </row>
    <row r="19" spans="1:11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5.75" customHeight="1" x14ac:dyDescent="0.2">
      <c r="A20" s="3"/>
      <c r="B20" s="3"/>
      <c r="C20" s="2" t="s">
        <v>143</v>
      </c>
      <c r="D20" s="3"/>
      <c r="E20" s="3"/>
      <c r="F20" s="3"/>
      <c r="G20" s="3"/>
      <c r="H20" s="3"/>
      <c r="I20" s="3"/>
      <c r="J20" s="3"/>
    </row>
    <row r="21" spans="1:11" ht="15.75" customHeight="1" thickBo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1" ht="15.75" customHeight="1" x14ac:dyDescent="0.2">
      <c r="A22" s="3"/>
      <c r="B22" s="118"/>
      <c r="C22" s="119"/>
      <c r="D22" s="177"/>
      <c r="E22" s="119"/>
      <c r="F22" s="119"/>
      <c r="G22" s="119"/>
      <c r="H22" s="119"/>
      <c r="I22" s="119"/>
      <c r="J22" s="119"/>
      <c r="K22" s="178"/>
    </row>
    <row r="23" spans="1:11" ht="15.75" customHeight="1" x14ac:dyDescent="0.2">
      <c r="A23" s="3"/>
      <c r="B23" s="180" t="s">
        <v>129</v>
      </c>
      <c r="C23" s="181" t="s">
        <v>144</v>
      </c>
      <c r="D23" s="73"/>
      <c r="E23" s="66"/>
      <c r="F23" s="66"/>
      <c r="G23" s="66"/>
      <c r="H23" s="66"/>
      <c r="I23" s="66"/>
      <c r="J23" s="66"/>
      <c r="K23" s="179"/>
    </row>
    <row r="24" spans="1:11" ht="15.75" customHeight="1" x14ac:dyDescent="0.2">
      <c r="A24" s="3"/>
      <c r="B24" s="120"/>
      <c r="C24" s="66" t="s">
        <v>24</v>
      </c>
      <c r="D24" s="76">
        <v>0</v>
      </c>
      <c r="E24" s="76"/>
      <c r="F24" s="76">
        <v>1</v>
      </c>
      <c r="G24" s="76">
        <v>2</v>
      </c>
      <c r="H24" s="76">
        <v>3</v>
      </c>
      <c r="I24" s="76">
        <v>4</v>
      </c>
      <c r="J24" s="182">
        <v>5</v>
      </c>
      <c r="K24" s="179"/>
    </row>
    <row r="25" spans="1:11" ht="15.75" customHeight="1" x14ac:dyDescent="0.2">
      <c r="A25" s="3"/>
      <c r="B25" s="120"/>
      <c r="C25" s="66" t="s">
        <v>113</v>
      </c>
      <c r="D25" s="183">
        <f>D8</f>
        <v>580000</v>
      </c>
      <c r="E25" s="137"/>
      <c r="F25" s="183">
        <f>$D$8-(F24*($D$8/$D$10))</f>
        <v>464000</v>
      </c>
      <c r="G25" s="183">
        <f>$D$8-(G24*($D$8/$D$10))</f>
        <v>348000</v>
      </c>
      <c r="H25" s="183">
        <f>$D$8-(H24*($D$8/$D$10))</f>
        <v>232000</v>
      </c>
      <c r="I25" s="183">
        <f>$D$8-(I24*($D$8/$D$10))</f>
        <v>116000</v>
      </c>
      <c r="J25" s="183">
        <f>$D$8-(J24*($D$8/$D$10))</f>
        <v>0</v>
      </c>
      <c r="K25" s="179"/>
    </row>
    <row r="26" spans="1:11" ht="15.75" customHeight="1" x14ac:dyDescent="0.2">
      <c r="A26" s="3"/>
      <c r="B26" s="120"/>
      <c r="C26" s="66"/>
      <c r="D26" s="73"/>
      <c r="E26" s="66"/>
      <c r="F26" s="66"/>
      <c r="G26" s="66"/>
      <c r="H26" s="66"/>
      <c r="I26" s="66"/>
      <c r="J26" s="73"/>
      <c r="K26" s="179"/>
    </row>
    <row r="27" spans="1:11" ht="15.75" customHeight="1" x14ac:dyDescent="0.2">
      <c r="A27" s="3"/>
      <c r="B27" s="120"/>
      <c r="C27" s="66" t="s">
        <v>85</v>
      </c>
      <c r="D27" s="73"/>
      <c r="E27" s="66"/>
      <c r="F27" s="79">
        <f>$D$15*(1-$D$17)</f>
        <v>52700</v>
      </c>
      <c r="G27" s="79">
        <f>$D$15*(1-$D$17)</f>
        <v>52700</v>
      </c>
      <c r="H27" s="79">
        <f>$D$15*(1-$D$17)</f>
        <v>52700</v>
      </c>
      <c r="I27" s="79">
        <f>$D$15*(1-$D$17)</f>
        <v>52700</v>
      </c>
      <c r="J27" s="79">
        <f>$D$15*(1-$D$17)</f>
        <v>52700</v>
      </c>
      <c r="K27" s="179"/>
    </row>
    <row r="28" spans="1:11" ht="15.75" customHeight="1" x14ac:dyDescent="0.2">
      <c r="A28" s="3"/>
      <c r="B28" s="120"/>
      <c r="C28" s="66" t="s">
        <v>5</v>
      </c>
      <c r="D28" s="73"/>
      <c r="E28" s="66"/>
      <c r="F28" s="184">
        <f>($D$8/$D$10)*$D$17</f>
        <v>44080</v>
      </c>
      <c r="G28" s="184">
        <f>($D$8/$D$10)*$D$17</f>
        <v>44080</v>
      </c>
      <c r="H28" s="184">
        <f>($D$8/$D$10)*$D$17</f>
        <v>44080</v>
      </c>
      <c r="I28" s="184">
        <f>($D$8/$D$10)*$D$17</f>
        <v>44080</v>
      </c>
      <c r="J28" s="184">
        <f>($D$8/$D$10)*$D$17</f>
        <v>44080</v>
      </c>
      <c r="K28" s="179"/>
    </row>
    <row r="29" spans="1:11" ht="15.75" customHeight="1" x14ac:dyDescent="0.2">
      <c r="A29" s="3"/>
      <c r="B29" s="120"/>
      <c r="C29" s="66" t="s">
        <v>145</v>
      </c>
      <c r="D29" s="73"/>
      <c r="E29" s="73"/>
      <c r="F29" s="79">
        <f>F27+F28</f>
        <v>96780</v>
      </c>
      <c r="G29" s="79">
        <f>G27+G28</f>
        <v>96780</v>
      </c>
      <c r="H29" s="79">
        <f>H27+H28</f>
        <v>96780</v>
      </c>
      <c r="I29" s="79">
        <f>I27+I28</f>
        <v>96780</v>
      </c>
      <c r="J29" s="79">
        <f>J27+J28</f>
        <v>96780</v>
      </c>
      <c r="K29" s="179"/>
    </row>
    <row r="30" spans="1:11" ht="15.75" customHeight="1" x14ac:dyDescent="0.2">
      <c r="A30" s="3"/>
      <c r="B30" s="120"/>
      <c r="C30" s="66"/>
      <c r="D30" s="73"/>
      <c r="E30" s="66"/>
      <c r="F30" s="66"/>
      <c r="G30" s="66"/>
      <c r="H30" s="66"/>
      <c r="I30" s="66"/>
      <c r="J30" s="73"/>
      <c r="K30" s="179"/>
    </row>
    <row r="31" spans="1:11" ht="15.75" customHeight="1" x14ac:dyDescent="0.2">
      <c r="A31" s="3"/>
      <c r="B31" s="120"/>
      <c r="C31" s="66" t="s">
        <v>118</v>
      </c>
      <c r="D31" s="137">
        <v>0</v>
      </c>
      <c r="E31" s="137"/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79"/>
    </row>
    <row r="32" spans="1:11" ht="15.75" customHeight="1" x14ac:dyDescent="0.2">
      <c r="A32" s="3"/>
      <c r="B32" s="120"/>
      <c r="C32" s="66" t="s">
        <v>119</v>
      </c>
      <c r="D32" s="183">
        <f>-D8</f>
        <v>-580000</v>
      </c>
      <c r="E32" s="137"/>
      <c r="F32" s="137">
        <v>0</v>
      </c>
      <c r="G32" s="137">
        <v>0</v>
      </c>
      <c r="H32" s="137">
        <v>0</v>
      </c>
      <c r="I32" s="137">
        <v>0</v>
      </c>
      <c r="J32" s="79">
        <f>D9+((J25-D9)*D17)</f>
        <v>80600</v>
      </c>
      <c r="K32" s="179"/>
    </row>
    <row r="33" spans="1:11" ht="15.75" customHeight="1" thickBot="1" x14ac:dyDescent="0.25">
      <c r="A33" s="3"/>
      <c r="B33" s="120"/>
      <c r="C33" s="66" t="s">
        <v>120</v>
      </c>
      <c r="D33" s="185">
        <f>D32+D31+D29</f>
        <v>-580000</v>
      </c>
      <c r="E33" s="186"/>
      <c r="F33" s="126">
        <f>F31+F32+F29</f>
        <v>96780</v>
      </c>
      <c r="G33" s="126">
        <f>G31+G32+G29</f>
        <v>96780</v>
      </c>
      <c r="H33" s="126">
        <f>H31+H32+H29</f>
        <v>96780</v>
      </c>
      <c r="I33" s="126">
        <f>I31+I32+I29</f>
        <v>96780</v>
      </c>
      <c r="J33" s="126">
        <f>J29+J31+J32</f>
        <v>177380</v>
      </c>
      <c r="K33" s="179"/>
    </row>
    <row r="34" spans="1:11" ht="15.75" customHeight="1" thickTop="1" x14ac:dyDescent="0.2">
      <c r="A34" s="3"/>
      <c r="B34" s="120"/>
      <c r="C34" s="66"/>
      <c r="D34" s="187"/>
      <c r="E34" s="66"/>
      <c r="F34" s="66"/>
      <c r="G34" s="66"/>
      <c r="H34" s="66"/>
      <c r="I34" s="66"/>
      <c r="J34" s="73"/>
      <c r="K34" s="179"/>
    </row>
    <row r="35" spans="1:11" ht="15.75" customHeight="1" x14ac:dyDescent="0.2">
      <c r="A35" s="3"/>
      <c r="B35" s="120"/>
      <c r="C35" s="66" t="s">
        <v>121</v>
      </c>
      <c r="D35" s="188">
        <f>NPV(D16,F33:J33)+D33</f>
        <v>-205885.30948647717</v>
      </c>
      <c r="E35" s="66"/>
      <c r="F35" s="66"/>
      <c r="G35" s="66"/>
      <c r="H35" s="66"/>
      <c r="I35" s="66"/>
      <c r="J35" s="73"/>
      <c r="K35" s="179"/>
    </row>
    <row r="36" spans="1:11" ht="15.75" customHeight="1" x14ac:dyDescent="0.25">
      <c r="A36" s="3"/>
      <c r="B36" s="120"/>
      <c r="C36" s="66" t="s">
        <v>43</v>
      </c>
      <c r="D36" s="189">
        <f>-PMT(D16,D10,D35,0)</f>
        <v>-59971.003117627144</v>
      </c>
      <c r="E36" s="66"/>
      <c r="F36" s="66"/>
      <c r="G36" s="66"/>
      <c r="H36" s="66"/>
      <c r="I36" s="66"/>
      <c r="J36" s="73"/>
      <c r="K36" s="179"/>
    </row>
    <row r="37" spans="1:11" ht="15.75" customHeight="1" x14ac:dyDescent="0.2">
      <c r="A37" s="3"/>
      <c r="B37" s="120"/>
      <c r="C37" s="66"/>
      <c r="D37" s="190"/>
      <c r="E37" s="66"/>
      <c r="F37" s="66"/>
      <c r="G37" s="66"/>
      <c r="H37" s="66"/>
      <c r="I37" s="66"/>
      <c r="J37" s="73"/>
      <c r="K37" s="179"/>
    </row>
    <row r="38" spans="1:11" ht="15.75" customHeight="1" x14ac:dyDescent="0.2">
      <c r="A38" s="3"/>
      <c r="B38" s="120"/>
      <c r="C38" s="181" t="s">
        <v>146</v>
      </c>
      <c r="D38" s="73"/>
      <c r="E38" s="66"/>
      <c r="F38" s="66"/>
      <c r="G38" s="66"/>
      <c r="H38" s="66"/>
      <c r="I38" s="66"/>
      <c r="J38" s="73"/>
      <c r="K38" s="179"/>
    </row>
    <row r="39" spans="1:11" ht="15.75" customHeight="1" x14ac:dyDescent="0.2">
      <c r="A39" s="3"/>
      <c r="B39" s="120"/>
      <c r="C39" s="66" t="s">
        <v>24</v>
      </c>
      <c r="D39" s="76">
        <v>0</v>
      </c>
      <c r="E39" s="76"/>
      <c r="F39" s="76">
        <v>1</v>
      </c>
      <c r="G39" s="76">
        <v>2</v>
      </c>
      <c r="H39" s="76">
        <v>3</v>
      </c>
      <c r="I39" s="76">
        <v>4</v>
      </c>
      <c r="J39" s="76">
        <v>5</v>
      </c>
      <c r="K39" s="179"/>
    </row>
    <row r="40" spans="1:11" ht="15.75" customHeight="1" x14ac:dyDescent="0.2">
      <c r="A40" s="3"/>
      <c r="B40" s="120"/>
      <c r="C40" s="66" t="s">
        <v>113</v>
      </c>
      <c r="D40" s="137"/>
      <c r="E40" s="137"/>
      <c r="F40" s="183">
        <f>D12-D11</f>
        <v>180000</v>
      </c>
      <c r="G40" s="183">
        <f>F40-D11</f>
        <v>90000</v>
      </c>
      <c r="H40" s="191"/>
      <c r="I40" s="191"/>
      <c r="J40" s="191"/>
      <c r="K40" s="179"/>
    </row>
    <row r="41" spans="1:11" ht="15.75" customHeight="1" x14ac:dyDescent="0.2">
      <c r="A41" s="3"/>
      <c r="B41" s="120"/>
      <c r="C41" s="66"/>
      <c r="D41" s="137"/>
      <c r="E41" s="137"/>
      <c r="F41" s="137"/>
      <c r="G41" s="137"/>
      <c r="H41" s="73"/>
      <c r="I41" s="73"/>
      <c r="J41" s="73"/>
      <c r="K41" s="179"/>
    </row>
    <row r="42" spans="1:11" ht="15.75" customHeight="1" x14ac:dyDescent="0.2">
      <c r="A42" s="3"/>
      <c r="B42" s="120"/>
      <c r="C42" s="66" t="s">
        <v>12</v>
      </c>
      <c r="D42" s="137"/>
      <c r="E42" s="137"/>
      <c r="F42" s="183">
        <f>$D$11*$D$17</f>
        <v>34200</v>
      </c>
      <c r="G42" s="183">
        <f>$D$11*$D$17</f>
        <v>34200</v>
      </c>
      <c r="H42" s="73"/>
      <c r="I42" s="73"/>
      <c r="J42" s="73"/>
      <c r="K42" s="179"/>
    </row>
    <row r="43" spans="1:11" ht="15.75" customHeight="1" x14ac:dyDescent="0.2">
      <c r="A43" s="3"/>
      <c r="B43" s="120"/>
      <c r="C43" s="66" t="s">
        <v>118</v>
      </c>
      <c r="D43" s="137">
        <v>0</v>
      </c>
      <c r="E43" s="137"/>
      <c r="F43" s="137">
        <v>0</v>
      </c>
      <c r="G43" s="137">
        <v>0</v>
      </c>
      <c r="H43" s="73"/>
      <c r="I43" s="73"/>
      <c r="J43" s="73"/>
      <c r="K43" s="179"/>
    </row>
    <row r="44" spans="1:11" ht="15.75" customHeight="1" x14ac:dyDescent="0.2">
      <c r="A44" s="3"/>
      <c r="B44" s="120"/>
      <c r="C44" s="66" t="s">
        <v>119</v>
      </c>
      <c r="D44" s="79">
        <f>-(D13+((D12-D13)*D17))</f>
        <v>-245200</v>
      </c>
      <c r="E44" s="137"/>
      <c r="F44" s="137">
        <v>0</v>
      </c>
      <c r="G44" s="79">
        <f>D14+((G40-D14)*D17)</f>
        <v>71400</v>
      </c>
      <c r="H44" s="73"/>
      <c r="I44" s="73"/>
      <c r="J44" s="73"/>
      <c r="K44" s="179"/>
    </row>
    <row r="45" spans="1:11" ht="15.75" customHeight="1" thickBot="1" x14ac:dyDescent="0.25">
      <c r="A45" s="3"/>
      <c r="B45" s="120"/>
      <c r="C45" s="66" t="s">
        <v>120</v>
      </c>
      <c r="D45" s="192">
        <f>D42+D43+D44</f>
        <v>-245200</v>
      </c>
      <c r="E45" s="193"/>
      <c r="F45" s="194">
        <f>F42+F43+F44</f>
        <v>34200</v>
      </c>
      <c r="G45" s="192">
        <f>G42+G43+G44</f>
        <v>105600</v>
      </c>
      <c r="H45" s="195"/>
      <c r="I45" s="195"/>
      <c r="J45" s="195"/>
      <c r="K45" s="179"/>
    </row>
    <row r="46" spans="1:11" ht="15.75" customHeight="1" thickTop="1" x14ac:dyDescent="0.2">
      <c r="A46" s="3"/>
      <c r="B46" s="120"/>
      <c r="C46" s="66"/>
      <c r="D46" s="187"/>
      <c r="E46" s="66"/>
      <c r="F46" s="73"/>
      <c r="G46" s="73"/>
      <c r="H46" s="73"/>
      <c r="I46" s="73"/>
      <c r="J46" s="73"/>
      <c r="K46" s="179"/>
    </row>
    <row r="47" spans="1:11" ht="15.75" customHeight="1" x14ac:dyDescent="0.2">
      <c r="A47" s="3"/>
      <c r="B47" s="120"/>
      <c r="C47" s="66" t="s">
        <v>121</v>
      </c>
      <c r="D47" s="188">
        <f>NPV(D16,F45:G45)+D45</f>
        <v>-133944.2289935365</v>
      </c>
      <c r="E47" s="66"/>
      <c r="F47" s="73"/>
      <c r="G47" s="73"/>
      <c r="H47" s="73"/>
      <c r="I47" s="73"/>
      <c r="J47" s="73"/>
      <c r="K47" s="179"/>
    </row>
    <row r="48" spans="1:11" ht="15.75" customHeight="1" x14ac:dyDescent="0.25">
      <c r="A48" s="3"/>
      <c r="B48" s="120"/>
      <c r="C48" s="66" t="s">
        <v>43</v>
      </c>
      <c r="D48" s="189">
        <f>PMT(D16,2,-D47)</f>
        <v>-81342.953271028047</v>
      </c>
      <c r="E48" s="66"/>
      <c r="F48" s="73"/>
      <c r="G48" s="73"/>
      <c r="H48" s="73"/>
      <c r="I48" s="73"/>
      <c r="J48" s="73"/>
      <c r="K48" s="179"/>
    </row>
    <row r="49" spans="1:11" ht="15.75" customHeight="1" x14ac:dyDescent="0.2">
      <c r="A49" s="3"/>
      <c r="B49" s="120"/>
      <c r="C49" s="66"/>
      <c r="D49" s="190"/>
      <c r="E49" s="66"/>
      <c r="F49" s="73"/>
      <c r="G49" s="73"/>
      <c r="H49" s="73"/>
      <c r="I49" s="73"/>
      <c r="J49" s="73"/>
      <c r="K49" s="179"/>
    </row>
    <row r="50" spans="1:11" ht="15.75" customHeight="1" x14ac:dyDescent="0.2">
      <c r="A50" s="3"/>
      <c r="B50" s="180" t="s">
        <v>130</v>
      </c>
      <c r="C50" s="181" t="s">
        <v>147</v>
      </c>
      <c r="D50" s="190"/>
      <c r="E50" s="66"/>
      <c r="F50" s="73"/>
      <c r="G50" s="73"/>
      <c r="H50" s="73"/>
      <c r="I50" s="73"/>
      <c r="J50" s="73"/>
      <c r="K50" s="179"/>
    </row>
    <row r="51" spans="1:11" ht="15.75" customHeight="1" x14ac:dyDescent="0.2">
      <c r="A51" s="3"/>
      <c r="B51" s="120"/>
      <c r="C51" s="66" t="s">
        <v>148</v>
      </c>
      <c r="D51" s="196">
        <f>-D8</f>
        <v>-580000</v>
      </c>
      <c r="E51" s="79"/>
      <c r="F51" s="79">
        <f>F33</f>
        <v>96780</v>
      </c>
      <c r="G51" s="79">
        <f>G33</f>
        <v>96780</v>
      </c>
      <c r="H51" s="79">
        <f>H33</f>
        <v>96780</v>
      </c>
      <c r="I51" s="79">
        <f>I33</f>
        <v>96780</v>
      </c>
      <c r="J51" s="79">
        <f>J33</f>
        <v>177380</v>
      </c>
      <c r="K51" s="179"/>
    </row>
    <row r="52" spans="1:11" ht="15.75" customHeight="1" x14ac:dyDescent="0.2">
      <c r="A52" s="3"/>
      <c r="B52" s="120"/>
      <c r="C52" s="66" t="s">
        <v>149</v>
      </c>
      <c r="D52" s="196">
        <f>-D45</f>
        <v>245200</v>
      </c>
      <c r="E52" s="79"/>
      <c r="F52" s="197">
        <f>-F45</f>
        <v>-34200</v>
      </c>
      <c r="G52" s="79">
        <f>-G45</f>
        <v>-105600</v>
      </c>
      <c r="H52" s="79">
        <f>H45</f>
        <v>0</v>
      </c>
      <c r="I52" s="79">
        <f>I45</f>
        <v>0</v>
      </c>
      <c r="J52" s="79">
        <f>J45</f>
        <v>0</v>
      </c>
      <c r="K52" s="179"/>
    </row>
    <row r="53" spans="1:11" ht="15.75" customHeight="1" thickBot="1" x14ac:dyDescent="0.25">
      <c r="A53" s="3"/>
      <c r="B53" s="120"/>
      <c r="C53" s="66" t="s">
        <v>120</v>
      </c>
      <c r="D53" s="192">
        <f>D51+D52</f>
        <v>-334800</v>
      </c>
      <c r="E53" s="126"/>
      <c r="F53" s="126">
        <f>F51+F52</f>
        <v>62580</v>
      </c>
      <c r="G53" s="126">
        <f>G51+G52</f>
        <v>-8820</v>
      </c>
      <c r="H53" s="126">
        <f>H51+H52</f>
        <v>96780</v>
      </c>
      <c r="I53" s="126">
        <f>I51+I52</f>
        <v>96780</v>
      </c>
      <c r="J53" s="126">
        <f>J51+J52</f>
        <v>177380</v>
      </c>
      <c r="K53" s="179"/>
    </row>
    <row r="54" spans="1:11" ht="15.75" customHeight="1" thickTop="1" x14ac:dyDescent="0.2">
      <c r="A54" s="3"/>
      <c r="B54" s="120"/>
      <c r="C54" s="66"/>
      <c r="D54" s="190"/>
      <c r="E54" s="66"/>
      <c r="F54" s="73"/>
      <c r="G54" s="73"/>
      <c r="H54" s="73"/>
      <c r="I54" s="73"/>
      <c r="J54" s="73"/>
      <c r="K54" s="179"/>
    </row>
    <row r="55" spans="1:11" ht="15.75" customHeight="1" x14ac:dyDescent="0.25">
      <c r="A55" s="3"/>
      <c r="B55" s="120"/>
      <c r="C55" s="66" t="s">
        <v>21</v>
      </c>
      <c r="D55" s="395">
        <f>NPV(D16,F53:J53)+D53</f>
        <v>-71941.080492940673</v>
      </c>
      <c r="E55" s="66"/>
      <c r="F55" s="73"/>
      <c r="G55" s="73"/>
      <c r="H55" s="73"/>
      <c r="I55" s="73"/>
      <c r="J55" s="73"/>
      <c r="K55" s="179"/>
    </row>
    <row r="56" spans="1:11" ht="15.75" customHeight="1" thickBot="1" x14ac:dyDescent="0.25">
      <c r="A56" s="3"/>
      <c r="B56" s="123"/>
      <c r="C56" s="124"/>
      <c r="D56" s="198"/>
      <c r="E56" s="124"/>
      <c r="F56" s="124"/>
      <c r="G56" s="124"/>
      <c r="H56" s="124"/>
      <c r="I56" s="124"/>
      <c r="J56" s="124"/>
      <c r="K56" s="199"/>
    </row>
    <row r="57" spans="1:1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8" spans="1:10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10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</sheetData>
  <phoneticPr fontId="29" type="noConversion"/>
  <pageMargins left="0.75" right="0.75" top="1" bottom="1" header="0.5" footer="0.5"/>
  <pageSetup scale="58" orientation="portrait" horizontalDpi="360" verticalDpi="36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85546875" bestFit="1" customWidth="1"/>
    <col min="4" max="5" width="19.42578125" customWidth="1"/>
    <col min="6" max="6" width="3.140625" customWidth="1"/>
    <col min="7" max="8" width="19.42578125" customWidth="1"/>
    <col min="9" max="9" width="4.7109375" customWidth="1"/>
  </cols>
  <sheetData>
    <row r="1" spans="2:8" ht="18" x14ac:dyDescent="0.25">
      <c r="C1" s="1" t="s">
        <v>434</v>
      </c>
    </row>
    <row r="2" spans="2:8" ht="15.75" customHeight="1" x14ac:dyDescent="0.2">
      <c r="C2" s="3" t="s">
        <v>324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6"/>
      <c r="F6" s="7"/>
    </row>
    <row r="7" spans="2:8" ht="15.75" customHeight="1" x14ac:dyDescent="0.2">
      <c r="B7" s="8"/>
      <c r="C7" s="13" t="s">
        <v>383</v>
      </c>
      <c r="D7" s="84">
        <v>1250000</v>
      </c>
      <c r="E7" s="84"/>
      <c r="F7" s="9"/>
      <c r="H7" s="57"/>
    </row>
    <row r="8" spans="2:8" ht="15.75" customHeight="1" x14ac:dyDescent="0.2">
      <c r="B8" s="8"/>
      <c r="C8" s="13" t="s">
        <v>384</v>
      </c>
      <c r="D8" s="84">
        <v>60000</v>
      </c>
      <c r="E8" s="84"/>
      <c r="F8" s="9"/>
      <c r="H8" s="57"/>
    </row>
    <row r="9" spans="2:8" ht="15.75" customHeight="1" x14ac:dyDescent="0.2">
      <c r="B9" s="8"/>
      <c r="C9" s="13"/>
      <c r="D9" s="84"/>
      <c r="E9" s="84"/>
      <c r="F9" s="9"/>
      <c r="H9" s="57"/>
    </row>
    <row r="10" spans="2:8" ht="15.75" customHeight="1" x14ac:dyDescent="0.2">
      <c r="B10" s="8"/>
      <c r="C10" s="273"/>
      <c r="D10" s="323" t="s">
        <v>385</v>
      </c>
      <c r="E10" s="324" t="s">
        <v>387</v>
      </c>
      <c r="F10" s="9"/>
      <c r="H10" s="57"/>
    </row>
    <row r="11" spans="2:8" ht="15.75" customHeight="1" x14ac:dyDescent="0.2">
      <c r="B11" s="8"/>
      <c r="C11" s="13" t="s">
        <v>386</v>
      </c>
      <c r="D11" s="84">
        <v>115000</v>
      </c>
      <c r="E11" s="84">
        <v>160000</v>
      </c>
      <c r="F11" s="9"/>
    </row>
    <row r="12" spans="2:8" ht="15.75" customHeight="1" x14ac:dyDescent="0.2">
      <c r="B12" s="8"/>
      <c r="C12" s="13" t="s">
        <v>165</v>
      </c>
      <c r="D12" s="84">
        <v>220000</v>
      </c>
      <c r="E12" s="84">
        <v>245000</v>
      </c>
      <c r="F12" s="9"/>
    </row>
    <row r="13" spans="2:8" ht="15.75" customHeight="1" x14ac:dyDescent="0.2">
      <c r="B13" s="8"/>
      <c r="C13" s="13" t="s">
        <v>388</v>
      </c>
      <c r="D13" s="84">
        <v>235000</v>
      </c>
      <c r="E13" s="84">
        <v>265000</v>
      </c>
      <c r="F13" s="9"/>
    </row>
    <row r="14" spans="2:8" ht="15.75" customHeight="1" x14ac:dyDescent="0.2">
      <c r="B14" s="8"/>
      <c r="C14" s="13" t="s">
        <v>389</v>
      </c>
      <c r="D14" s="84">
        <v>85000</v>
      </c>
      <c r="E14" s="84">
        <v>105000</v>
      </c>
      <c r="F14" s="9"/>
    </row>
    <row r="15" spans="2:8" ht="15.75" customHeight="1" x14ac:dyDescent="0.2">
      <c r="B15" s="8"/>
      <c r="C15" s="13" t="s">
        <v>390</v>
      </c>
      <c r="D15" s="84">
        <v>75000</v>
      </c>
      <c r="E15" s="84">
        <v>85000</v>
      </c>
      <c r="F15" s="9"/>
    </row>
    <row r="16" spans="2:8" ht="15.75" customHeight="1" x14ac:dyDescent="0.2">
      <c r="B16" s="8"/>
      <c r="C16" s="13"/>
      <c r="D16" s="90"/>
      <c r="E16" s="90"/>
      <c r="F16" s="9"/>
    </row>
    <row r="17" spans="2:6" ht="15.75" customHeight="1" x14ac:dyDescent="0.2">
      <c r="B17" s="8"/>
      <c r="C17" s="13" t="s">
        <v>392</v>
      </c>
      <c r="D17" s="90">
        <v>15</v>
      </c>
      <c r="E17" s="84"/>
      <c r="F17" s="9"/>
    </row>
    <row r="18" spans="2:6" ht="15.75" customHeight="1" x14ac:dyDescent="0.2">
      <c r="B18" s="8"/>
      <c r="C18" s="13" t="s">
        <v>6</v>
      </c>
      <c r="D18" s="152">
        <v>0.34</v>
      </c>
      <c r="E18" s="152"/>
      <c r="F18" s="9"/>
    </row>
    <row r="19" spans="2:6" ht="15.75" customHeight="1" x14ac:dyDescent="0.2">
      <c r="B19" s="8"/>
      <c r="C19" s="13" t="s">
        <v>20</v>
      </c>
      <c r="D19" s="152">
        <v>0.12</v>
      </c>
      <c r="E19" s="152"/>
      <c r="F19" s="9"/>
    </row>
    <row r="20" spans="2:6" ht="15.75" customHeight="1" thickBot="1" x14ac:dyDescent="0.25">
      <c r="B20" s="10"/>
      <c r="C20" s="65"/>
      <c r="D20" s="65"/>
      <c r="E20" s="65"/>
      <c r="F20" s="12"/>
    </row>
    <row r="21" spans="2:6" ht="15.75" customHeight="1" x14ac:dyDescent="0.2">
      <c r="B21" s="64"/>
      <c r="F21" s="64"/>
    </row>
    <row r="22" spans="2:6" ht="15.75" customHeight="1" x14ac:dyDescent="0.2">
      <c r="C22" s="2" t="s">
        <v>2</v>
      </c>
    </row>
    <row r="23" spans="2:6" ht="15.75" customHeight="1" thickBot="1" x14ac:dyDescent="0.25"/>
    <row r="24" spans="2:6" ht="15.75" customHeight="1" x14ac:dyDescent="0.2">
      <c r="B24" s="68"/>
      <c r="C24" s="69"/>
      <c r="D24" s="69"/>
      <c r="E24" s="69"/>
      <c r="F24" s="155"/>
    </row>
    <row r="25" spans="2:6" ht="15.75" customHeight="1" x14ac:dyDescent="0.2">
      <c r="B25" s="70"/>
      <c r="C25" s="265" t="s">
        <v>391</v>
      </c>
      <c r="D25" s="326"/>
      <c r="E25" s="326"/>
      <c r="F25" s="22"/>
    </row>
    <row r="26" spans="2:6" ht="15.75" customHeight="1" x14ac:dyDescent="0.2">
      <c r="B26" s="70"/>
      <c r="C26" s="19" t="s">
        <v>393</v>
      </c>
      <c r="D26" s="96">
        <f>D8</f>
        <v>60000</v>
      </c>
      <c r="E26" s="96"/>
      <c r="F26" s="22"/>
    </row>
    <row r="27" spans="2:6" ht="15.75" customHeight="1" x14ac:dyDescent="0.2">
      <c r="B27" s="166"/>
      <c r="C27" s="19" t="s">
        <v>79</v>
      </c>
      <c r="D27" s="222">
        <f>D26*D18</f>
        <v>20400</v>
      </c>
      <c r="E27" s="325"/>
      <c r="F27" s="22"/>
    </row>
    <row r="28" spans="2:6" ht="15.75" customHeight="1" x14ac:dyDescent="0.2">
      <c r="B28" s="70"/>
      <c r="C28" s="19" t="s">
        <v>115</v>
      </c>
      <c r="D28" s="96">
        <f>D26-D27</f>
        <v>39600</v>
      </c>
      <c r="E28" s="96"/>
      <c r="F28" s="22"/>
    </row>
    <row r="29" spans="2:6" ht="15.75" customHeight="1" x14ac:dyDescent="0.2">
      <c r="B29" s="70"/>
      <c r="C29" s="19"/>
      <c r="D29" s="139"/>
      <c r="E29" s="139"/>
      <c r="F29" s="22"/>
    </row>
    <row r="30" spans="2:6" ht="15.75" customHeight="1" x14ac:dyDescent="0.25">
      <c r="B30" s="70"/>
      <c r="C30" s="19" t="s">
        <v>21</v>
      </c>
      <c r="D30" s="138">
        <f>PV(D19,D17,-D28)</f>
        <v>269710.23378281423</v>
      </c>
      <c r="E30" s="96"/>
      <c r="F30" s="22"/>
    </row>
    <row r="31" spans="2:6" ht="15.75" customHeight="1" x14ac:dyDescent="0.2">
      <c r="B31" s="70"/>
      <c r="C31" s="19"/>
      <c r="D31" s="221"/>
      <c r="E31" s="221"/>
      <c r="F31" s="22"/>
    </row>
    <row r="32" spans="2:6" ht="15.75" customHeight="1" x14ac:dyDescent="0.35">
      <c r="B32" s="70"/>
      <c r="C32" s="265" t="s">
        <v>385</v>
      </c>
      <c r="D32" s="327" t="s">
        <v>394</v>
      </c>
      <c r="E32" s="327" t="s">
        <v>395</v>
      </c>
      <c r="F32" s="22"/>
    </row>
    <row r="33" spans="2:6" ht="15.75" customHeight="1" x14ac:dyDescent="0.2">
      <c r="B33" s="70"/>
      <c r="C33" s="19" t="s">
        <v>396</v>
      </c>
      <c r="D33" s="79">
        <f>D13</f>
        <v>235000</v>
      </c>
      <c r="E33" s="79">
        <f>D33</f>
        <v>235000</v>
      </c>
      <c r="F33" s="22"/>
    </row>
    <row r="34" spans="2:6" ht="15.75" customHeight="1" x14ac:dyDescent="0.2">
      <c r="B34" s="70"/>
      <c r="C34" s="19" t="s">
        <v>397</v>
      </c>
      <c r="D34" s="80">
        <f>D14</f>
        <v>85000</v>
      </c>
      <c r="E34" s="80">
        <f>D34</f>
        <v>85000</v>
      </c>
      <c r="F34" s="22"/>
    </row>
    <row r="35" spans="2:6" ht="15.75" customHeight="1" x14ac:dyDescent="0.2">
      <c r="B35" s="70"/>
      <c r="C35" s="19" t="s">
        <v>5</v>
      </c>
      <c r="D35" s="80">
        <f>(D12+D11)/D17</f>
        <v>22333.333333333332</v>
      </c>
      <c r="E35" s="80">
        <f>D35</f>
        <v>22333.333333333332</v>
      </c>
      <c r="F35" s="22"/>
    </row>
    <row r="36" spans="2:6" ht="15.75" customHeight="1" x14ac:dyDescent="0.2">
      <c r="B36" s="70"/>
      <c r="C36" s="19" t="s">
        <v>398</v>
      </c>
      <c r="D36" s="82">
        <f>0</f>
        <v>0</v>
      </c>
      <c r="E36" s="82">
        <f>D15</f>
        <v>75000</v>
      </c>
      <c r="F36" s="22"/>
    </row>
    <row r="37" spans="2:6" ht="15.75" customHeight="1" x14ac:dyDescent="0.2">
      <c r="B37" s="70"/>
      <c r="C37" s="19" t="s">
        <v>8</v>
      </c>
      <c r="D37" s="79">
        <f>D33-D34-D35-D36</f>
        <v>127666.66666666667</v>
      </c>
      <c r="E37" s="79">
        <f>E33-E34-E35-E36</f>
        <v>52666.666666666672</v>
      </c>
      <c r="F37" s="22"/>
    </row>
    <row r="38" spans="2:6" ht="15.75" customHeight="1" x14ac:dyDescent="0.2">
      <c r="B38" s="70"/>
      <c r="C38" s="19" t="s">
        <v>155</v>
      </c>
      <c r="D38" s="82">
        <f>D37*D18</f>
        <v>43406.666666666672</v>
      </c>
      <c r="E38" s="82">
        <f>E37*D18</f>
        <v>17906.666666666668</v>
      </c>
      <c r="F38" s="22"/>
    </row>
    <row r="39" spans="2:6" ht="15.75" customHeight="1" thickBot="1" x14ac:dyDescent="0.25">
      <c r="B39" s="70"/>
      <c r="C39" s="19" t="s">
        <v>337</v>
      </c>
      <c r="D39" s="159">
        <f>D37-D38</f>
        <v>84260</v>
      </c>
      <c r="E39" s="159">
        <f>E37-E38</f>
        <v>34760</v>
      </c>
      <c r="F39" s="22"/>
    </row>
    <row r="40" spans="2:6" ht="15.75" customHeight="1" thickTop="1" x14ac:dyDescent="0.2">
      <c r="B40" s="70"/>
      <c r="C40" s="19" t="s">
        <v>11</v>
      </c>
      <c r="D40" s="96">
        <f>D39+D35</f>
        <v>106593.33333333333</v>
      </c>
      <c r="E40" s="96">
        <f>E39+E35</f>
        <v>57093.333333333328</v>
      </c>
      <c r="F40" s="22"/>
    </row>
    <row r="41" spans="2:6" ht="15.75" customHeight="1" x14ac:dyDescent="0.2">
      <c r="B41" s="70"/>
      <c r="C41" s="19"/>
      <c r="D41" s="96"/>
      <c r="E41" s="141"/>
      <c r="F41" s="22"/>
    </row>
    <row r="42" spans="2:6" ht="15.75" customHeight="1" x14ac:dyDescent="0.25">
      <c r="B42" s="70"/>
      <c r="C42" s="19" t="s">
        <v>21</v>
      </c>
      <c r="D42" s="138">
        <f>PV(D19,D17-1,-D40)+PV(D19,D17,0,-E40)-(D12+D11)</f>
        <v>381949.28388112865</v>
      </c>
      <c r="E42" s="141"/>
      <c r="F42" s="22"/>
    </row>
    <row r="43" spans="2:6" ht="15.75" customHeight="1" x14ac:dyDescent="0.2">
      <c r="B43" s="70"/>
      <c r="C43" s="19"/>
      <c r="D43" s="96"/>
      <c r="E43" s="141"/>
      <c r="F43" s="22"/>
    </row>
    <row r="44" spans="2:6" ht="15.75" customHeight="1" x14ac:dyDescent="0.35">
      <c r="B44" s="70"/>
      <c r="C44" s="265" t="s">
        <v>387</v>
      </c>
      <c r="D44" s="327" t="s">
        <v>394</v>
      </c>
      <c r="E44" s="327" t="s">
        <v>395</v>
      </c>
      <c r="F44" s="22"/>
    </row>
    <row r="45" spans="2:6" ht="15.75" customHeight="1" x14ac:dyDescent="0.2">
      <c r="B45" s="70"/>
      <c r="C45" s="19" t="s">
        <v>396</v>
      </c>
      <c r="D45" s="79">
        <f>E13</f>
        <v>265000</v>
      </c>
      <c r="E45" s="79">
        <f>D45</f>
        <v>265000</v>
      </c>
      <c r="F45" s="22"/>
    </row>
    <row r="46" spans="2:6" ht="15.75" customHeight="1" x14ac:dyDescent="0.2">
      <c r="B46" s="70"/>
      <c r="C46" s="19" t="s">
        <v>397</v>
      </c>
      <c r="D46" s="80">
        <f>E14</f>
        <v>105000</v>
      </c>
      <c r="E46" s="80">
        <f>D46</f>
        <v>105000</v>
      </c>
      <c r="F46" s="22"/>
    </row>
    <row r="47" spans="2:6" ht="15.75" customHeight="1" x14ac:dyDescent="0.2">
      <c r="B47" s="70"/>
      <c r="C47" s="19" t="s">
        <v>5</v>
      </c>
      <c r="D47" s="80">
        <f>(E11+E12)/D17</f>
        <v>27000</v>
      </c>
      <c r="E47" s="80">
        <f>D47</f>
        <v>27000</v>
      </c>
      <c r="F47" s="22"/>
    </row>
    <row r="48" spans="2:6" ht="15.75" customHeight="1" x14ac:dyDescent="0.2">
      <c r="B48" s="70"/>
      <c r="C48" s="19" t="s">
        <v>398</v>
      </c>
      <c r="D48" s="82">
        <f>0</f>
        <v>0</v>
      </c>
      <c r="E48" s="82">
        <f>E15</f>
        <v>85000</v>
      </c>
      <c r="F48" s="22"/>
    </row>
    <row r="49" spans="2:6" ht="15.75" customHeight="1" x14ac:dyDescent="0.2">
      <c r="B49" s="70"/>
      <c r="C49" s="19" t="s">
        <v>8</v>
      </c>
      <c r="D49" s="79">
        <f>D45-D46-D47-D48</f>
        <v>133000</v>
      </c>
      <c r="E49" s="79">
        <f>E45-E46-E47-E48</f>
        <v>48000</v>
      </c>
      <c r="F49" s="22"/>
    </row>
    <row r="50" spans="2:6" ht="15.75" customHeight="1" x14ac:dyDescent="0.2">
      <c r="B50" s="70"/>
      <c r="C50" s="19" t="s">
        <v>155</v>
      </c>
      <c r="D50" s="82">
        <f>D49*D18</f>
        <v>45220</v>
      </c>
      <c r="E50" s="82">
        <f>E49*D18</f>
        <v>16320.000000000002</v>
      </c>
      <c r="F50" s="22"/>
    </row>
    <row r="51" spans="2:6" ht="15.75" customHeight="1" thickBot="1" x14ac:dyDescent="0.25">
      <c r="B51" s="70"/>
      <c r="C51" s="19" t="s">
        <v>337</v>
      </c>
      <c r="D51" s="159">
        <f>D49-D50</f>
        <v>87780</v>
      </c>
      <c r="E51" s="159">
        <f>E49-E50</f>
        <v>31680</v>
      </c>
      <c r="F51" s="22"/>
    </row>
    <row r="52" spans="2:6" ht="15.75" customHeight="1" thickTop="1" x14ac:dyDescent="0.2">
      <c r="B52" s="70"/>
      <c r="C52" s="19" t="s">
        <v>11</v>
      </c>
      <c r="D52" s="96">
        <f>D51+D47</f>
        <v>114780</v>
      </c>
      <c r="E52" s="96">
        <f>E51+E47</f>
        <v>58680</v>
      </c>
      <c r="F52" s="22"/>
    </row>
    <row r="53" spans="2:6" ht="15.75" customHeight="1" x14ac:dyDescent="0.2">
      <c r="B53" s="70"/>
      <c r="C53" s="19"/>
      <c r="D53" s="96"/>
      <c r="E53" s="141"/>
      <c r="F53" s="22"/>
    </row>
    <row r="54" spans="2:6" ht="15.75" customHeight="1" x14ac:dyDescent="0.25">
      <c r="B54" s="70"/>
      <c r="C54" s="19" t="s">
        <v>21</v>
      </c>
      <c r="D54" s="138">
        <f>PV(D19,D17-1,-D52)+PV(D19,D17,0,-E52)-(E11+E12)</f>
        <v>366501.76584387186</v>
      </c>
      <c r="E54" s="141"/>
      <c r="F54" s="22"/>
    </row>
    <row r="55" spans="2:6" ht="15.75" customHeight="1" x14ac:dyDescent="0.25">
      <c r="B55" s="70"/>
      <c r="C55" s="19"/>
      <c r="D55" s="161"/>
      <c r="E55" s="141"/>
      <c r="F55" s="22"/>
    </row>
    <row r="56" spans="2:6" ht="15.75" customHeight="1" x14ac:dyDescent="0.25">
      <c r="B56" s="70"/>
      <c r="C56" s="265" t="s">
        <v>445</v>
      </c>
      <c r="D56" s="161"/>
      <c r="E56" s="141"/>
      <c r="F56" s="22"/>
    </row>
    <row r="57" spans="2:6" ht="15.75" customHeight="1" x14ac:dyDescent="0.25">
      <c r="B57" s="70"/>
      <c r="C57" s="19" t="s">
        <v>446</v>
      </c>
      <c r="D57" s="138">
        <f>D42-D30</f>
        <v>112239.05009831442</v>
      </c>
      <c r="E57" s="141"/>
      <c r="F57" s="22"/>
    </row>
    <row r="58" spans="2:6" ht="15.75" customHeight="1" x14ac:dyDescent="0.25">
      <c r="B58" s="70"/>
      <c r="C58" s="19" t="s">
        <v>447</v>
      </c>
      <c r="D58" s="138">
        <f>D54-D30</f>
        <v>96791.532061057631</v>
      </c>
      <c r="E58" s="141"/>
      <c r="F58" s="22"/>
    </row>
    <row r="59" spans="2:6" ht="15.75" customHeight="1" thickBot="1" x14ac:dyDescent="0.25">
      <c r="B59" s="71"/>
      <c r="C59" s="53"/>
      <c r="D59" s="53"/>
      <c r="E59" s="53"/>
      <c r="F59" s="51"/>
    </row>
    <row r="60" spans="2:6" ht="15.75" customHeight="1" x14ac:dyDescent="0.2"/>
    <row r="61" spans="2:6" ht="15.75" customHeight="1" x14ac:dyDescent="0.2"/>
    <row r="62" spans="2:6" ht="15.75" customHeight="1" x14ac:dyDescent="0.2"/>
    <row r="63" spans="2:6" ht="15.75" customHeight="1" x14ac:dyDescent="0.2"/>
    <row r="64" spans="2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</sheetData>
  <phoneticPr fontId="0" type="noConversion"/>
  <pageMargins left="0.75" right="0.75" top="1" bottom="1" header="0.5" footer="0.5"/>
  <pageSetup scale="55" orientation="landscape" horizontalDpi="360" verticalDpi="36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6" max="7" width="18.140625" customWidth="1"/>
    <col min="8" max="8" width="3.140625" customWidth="1"/>
  </cols>
  <sheetData>
    <row r="1" spans="2:5" ht="18" x14ac:dyDescent="0.25">
      <c r="C1" s="1" t="s">
        <v>434</v>
      </c>
    </row>
    <row r="2" spans="2:5" ht="15.75" customHeight="1" x14ac:dyDescent="0.2">
      <c r="C2" s="3" t="s">
        <v>323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354</v>
      </c>
      <c r="D7" s="84">
        <v>325000</v>
      </c>
      <c r="E7" s="9"/>
    </row>
    <row r="8" spans="2:5" ht="15.75" customHeight="1" x14ac:dyDescent="0.2">
      <c r="B8" s="8"/>
      <c r="C8" s="13" t="s">
        <v>355</v>
      </c>
      <c r="D8" s="84">
        <v>197000</v>
      </c>
      <c r="E8" s="9"/>
    </row>
    <row r="9" spans="2:5" ht="15.75" customHeight="1" x14ac:dyDescent="0.2">
      <c r="B9" s="8"/>
      <c r="C9" s="13" t="s">
        <v>356</v>
      </c>
      <c r="D9" s="274">
        <v>64000</v>
      </c>
      <c r="E9" s="9"/>
    </row>
    <row r="10" spans="2:5" ht="15.75" customHeight="1" x14ac:dyDescent="0.2">
      <c r="B10" s="8"/>
      <c r="C10" s="13" t="s">
        <v>357</v>
      </c>
      <c r="D10" s="274">
        <v>150000</v>
      </c>
      <c r="E10" s="9"/>
    </row>
    <row r="11" spans="2:5" ht="15.75" customHeight="1" x14ac:dyDescent="0.2">
      <c r="B11" s="8"/>
      <c r="C11" s="13" t="s">
        <v>358</v>
      </c>
      <c r="D11" s="314">
        <v>0.04</v>
      </c>
      <c r="E11" s="9"/>
    </row>
    <row r="12" spans="2:5" ht="15.75" customHeight="1" x14ac:dyDescent="0.2">
      <c r="B12" s="8"/>
      <c r="C12" s="13" t="s">
        <v>359</v>
      </c>
      <c r="D12" s="152">
        <v>0.03</v>
      </c>
      <c r="E12" s="9"/>
    </row>
    <row r="13" spans="2:5" ht="15.75" customHeight="1" x14ac:dyDescent="0.2">
      <c r="B13" s="8"/>
      <c r="C13" s="13" t="s">
        <v>360</v>
      </c>
      <c r="D13" s="152">
        <v>0.01</v>
      </c>
      <c r="E13" s="9"/>
    </row>
    <row r="14" spans="2:5" ht="15.75" customHeight="1" x14ac:dyDescent="0.2">
      <c r="B14" s="8"/>
      <c r="C14" s="13" t="s">
        <v>207</v>
      </c>
      <c r="D14" s="152">
        <v>0.06</v>
      </c>
      <c r="E14" s="9"/>
    </row>
    <row r="15" spans="2:5" ht="15.75" customHeight="1" x14ac:dyDescent="0.2">
      <c r="B15" s="8"/>
      <c r="C15" s="13" t="s">
        <v>210</v>
      </c>
      <c r="D15" s="152">
        <v>0.1</v>
      </c>
      <c r="E15" s="9"/>
    </row>
    <row r="16" spans="2:5" ht="15.75" customHeight="1" x14ac:dyDescent="0.2">
      <c r="B16" s="8"/>
      <c r="C16" s="13" t="s">
        <v>6</v>
      </c>
      <c r="D16" s="152">
        <v>0.34</v>
      </c>
      <c r="E16" s="9"/>
    </row>
    <row r="17" spans="2:6" ht="15.75" customHeight="1" thickBot="1" x14ac:dyDescent="0.25">
      <c r="B17" s="10"/>
      <c r="C17" s="28"/>
      <c r="D17" s="61"/>
      <c r="E17" s="12"/>
    </row>
    <row r="18" spans="2:6" ht="15.75" customHeight="1" x14ac:dyDescent="0.2"/>
    <row r="19" spans="2:6" ht="15.75" customHeight="1" x14ac:dyDescent="0.2">
      <c r="C19" s="2" t="s">
        <v>2</v>
      </c>
    </row>
    <row r="20" spans="2:6" ht="15.75" customHeight="1" thickBot="1" x14ac:dyDescent="0.25"/>
    <row r="21" spans="2:6" ht="15.75" customHeight="1" x14ac:dyDescent="0.2">
      <c r="B21" s="15"/>
      <c r="C21" s="16"/>
      <c r="D21" s="16"/>
      <c r="E21" s="17"/>
      <c r="F21" s="30"/>
    </row>
    <row r="22" spans="2:6" ht="15.75" customHeight="1" x14ac:dyDescent="0.2">
      <c r="B22" s="18"/>
      <c r="C22" s="265" t="s">
        <v>361</v>
      </c>
      <c r="D22" s="141"/>
      <c r="E22" s="21"/>
      <c r="F22" s="30"/>
    </row>
    <row r="23" spans="2:6" ht="15.75" customHeight="1" x14ac:dyDescent="0.2">
      <c r="B23" s="18"/>
      <c r="C23" s="19" t="s">
        <v>254</v>
      </c>
      <c r="D23" s="141">
        <f>D7/(1+D14)</f>
        <v>306603.77358490566</v>
      </c>
      <c r="E23" s="21"/>
      <c r="F23" s="30"/>
    </row>
    <row r="24" spans="2:6" ht="15.75" customHeight="1" x14ac:dyDescent="0.2">
      <c r="B24" s="18"/>
      <c r="C24" s="19" t="s">
        <v>362</v>
      </c>
      <c r="D24" s="141">
        <f>D8/(1+D14)</f>
        <v>185849.05660377358</v>
      </c>
      <c r="E24" s="21"/>
      <c r="F24" s="30"/>
    </row>
    <row r="25" spans="2:6" ht="15.75" customHeight="1" x14ac:dyDescent="0.2">
      <c r="B25" s="18"/>
      <c r="C25" s="19" t="s">
        <v>363</v>
      </c>
      <c r="D25" s="141">
        <f>D9/(1+D14)</f>
        <v>60377.358490566032</v>
      </c>
      <c r="E25" s="21"/>
      <c r="F25" s="30"/>
    </row>
    <row r="26" spans="2:6" ht="15.75" customHeight="1" x14ac:dyDescent="0.2">
      <c r="B26" s="18"/>
      <c r="C26" s="19" t="s">
        <v>365</v>
      </c>
      <c r="D26" s="141">
        <f>D10/(1+D14)</f>
        <v>141509.43396226416</v>
      </c>
      <c r="E26" s="21"/>
      <c r="F26" s="30"/>
    </row>
    <row r="27" spans="2:6" ht="15.75" customHeight="1" x14ac:dyDescent="0.2">
      <c r="B27" s="18"/>
      <c r="C27" s="19"/>
      <c r="D27" s="141"/>
      <c r="E27" s="21"/>
      <c r="F27" s="30"/>
    </row>
    <row r="28" spans="2:6" ht="15.75" customHeight="1" x14ac:dyDescent="0.2">
      <c r="B28" s="18"/>
      <c r="C28" s="265" t="s">
        <v>366</v>
      </c>
      <c r="D28" s="283"/>
      <c r="E28" s="21"/>
      <c r="F28" s="30"/>
    </row>
    <row r="29" spans="2:6" ht="15.75" customHeight="1" x14ac:dyDescent="0.2">
      <c r="B29" s="18"/>
      <c r="C29" s="19" t="s">
        <v>254</v>
      </c>
      <c r="D29" s="141">
        <f>D23/(D15-D11)</f>
        <v>5110062.893081761</v>
      </c>
      <c r="E29" s="21"/>
      <c r="F29" s="30"/>
    </row>
    <row r="30" spans="2:6" ht="15.75" customHeight="1" x14ac:dyDescent="0.2">
      <c r="B30" s="18"/>
      <c r="C30" s="19" t="s">
        <v>362</v>
      </c>
      <c r="D30" s="141">
        <f>D24/(D15-D12)</f>
        <v>2654986.5229110508</v>
      </c>
      <c r="E30" s="21"/>
      <c r="F30" s="30"/>
    </row>
    <row r="31" spans="2:6" ht="15.75" customHeight="1" x14ac:dyDescent="0.2">
      <c r="B31" s="18"/>
      <c r="C31" s="19" t="s">
        <v>363</v>
      </c>
      <c r="D31" s="141">
        <f>D25/(D15-D13)</f>
        <v>670859.53878406691</v>
      </c>
      <c r="E31" s="21"/>
      <c r="F31" s="30"/>
    </row>
    <row r="32" spans="2:6" ht="15.75" customHeight="1" x14ac:dyDescent="0.2">
      <c r="B32" s="18"/>
      <c r="C32" s="19" t="s">
        <v>365</v>
      </c>
      <c r="D32" s="141">
        <f>D26/(D15-(-D14))</f>
        <v>884433.96226415096</v>
      </c>
      <c r="E32" s="21"/>
      <c r="F32" s="31"/>
    </row>
    <row r="33" spans="2:8" ht="15.75" customHeight="1" x14ac:dyDescent="0.2">
      <c r="B33" s="18"/>
      <c r="C33" s="19"/>
      <c r="D33" s="141"/>
      <c r="E33" s="21"/>
      <c r="F33" s="31"/>
    </row>
    <row r="34" spans="2:8" ht="15.75" customHeight="1" x14ac:dyDescent="0.2">
      <c r="B34" s="18"/>
      <c r="C34" s="265" t="s">
        <v>364</v>
      </c>
      <c r="D34" s="141"/>
      <c r="E34" s="21"/>
      <c r="F34" s="31"/>
    </row>
    <row r="35" spans="2:8" ht="15.75" customHeight="1" x14ac:dyDescent="0.2">
      <c r="B35" s="18"/>
      <c r="C35" s="19" t="s">
        <v>254</v>
      </c>
      <c r="D35" s="141">
        <f>D29*(1-$D$16)</f>
        <v>3372641.5094339619</v>
      </c>
      <c r="E35" s="21"/>
      <c r="F35" s="31"/>
    </row>
    <row r="36" spans="2:8" ht="15.75" customHeight="1" x14ac:dyDescent="0.2">
      <c r="B36" s="18"/>
      <c r="C36" s="19" t="s">
        <v>362</v>
      </c>
      <c r="D36" s="141">
        <f>D30*(1-$D$16)</f>
        <v>1752291.1051212933</v>
      </c>
      <c r="E36" s="21"/>
      <c r="F36" s="31"/>
    </row>
    <row r="37" spans="2:8" ht="15.75" customHeight="1" x14ac:dyDescent="0.2">
      <c r="B37" s="18"/>
      <c r="C37" s="19" t="s">
        <v>363</v>
      </c>
      <c r="D37" s="141">
        <f>D31*(1-$D$16)</f>
        <v>442767.2955974841</v>
      </c>
      <c r="E37" s="21"/>
      <c r="F37" s="31"/>
    </row>
    <row r="38" spans="2:8" ht="15.75" customHeight="1" x14ac:dyDescent="0.2">
      <c r="B38" s="18"/>
      <c r="C38" s="19" t="s">
        <v>365</v>
      </c>
      <c r="D38" s="141">
        <f>D32*(1-$D$16)</f>
        <v>583726.41509433952</v>
      </c>
      <c r="E38" s="21"/>
      <c r="F38" s="31"/>
    </row>
    <row r="39" spans="2:8" ht="15.75" customHeight="1" x14ac:dyDescent="0.2">
      <c r="B39" s="18"/>
      <c r="C39" s="19"/>
      <c r="D39" s="141"/>
      <c r="E39" s="21"/>
      <c r="F39" s="31"/>
    </row>
    <row r="40" spans="2:8" ht="15.75" customHeight="1" x14ac:dyDescent="0.25">
      <c r="B40" s="18"/>
      <c r="C40" s="19" t="s">
        <v>21</v>
      </c>
      <c r="D40" s="138">
        <f>D35-D36-D37-D38</f>
        <v>593856.69362084498</v>
      </c>
      <c r="E40" s="21"/>
      <c r="F40" s="31"/>
    </row>
    <row r="41" spans="2:8" ht="15.75" customHeight="1" thickBot="1" x14ac:dyDescent="0.25">
      <c r="B41" s="23"/>
      <c r="C41" s="53"/>
      <c r="D41" s="63"/>
      <c r="E41" s="25"/>
      <c r="F41" s="30"/>
    </row>
    <row r="42" spans="2:8" ht="15.75" customHeight="1" x14ac:dyDescent="0.2">
      <c r="B42" s="14"/>
      <c r="C42" s="14"/>
      <c r="D42" s="14"/>
      <c r="E42" s="14"/>
      <c r="F42" s="14"/>
      <c r="G42" s="14"/>
      <c r="H42" s="14"/>
    </row>
    <row r="43" spans="2:8" ht="15.75" customHeight="1" x14ac:dyDescent="0.2"/>
    <row r="44" spans="2:8" ht="15.75" customHeight="1" x14ac:dyDescent="0.2">
      <c r="D44" s="26"/>
    </row>
    <row r="45" spans="2:8" ht="15.75" customHeight="1" x14ac:dyDescent="0.2"/>
    <row r="46" spans="2:8" ht="15.75" customHeight="1" x14ac:dyDescent="0.2"/>
    <row r="47" spans="2:8" ht="15.75" customHeight="1" x14ac:dyDescent="0.2"/>
    <row r="48" spans="2: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</sheetData>
  <phoneticPr fontId="0" type="noConversion"/>
  <pageMargins left="0.75" right="0.75" top="1" bottom="1" header="0.5" footer="0.5"/>
  <pageSetup scale="92" orientation="portrait" horizontalDpi="360" verticalDpi="36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0.42578125" bestFit="1" customWidth="1"/>
    <col min="4" max="4" width="19.42578125" bestFit="1" customWidth="1"/>
    <col min="5" max="8" width="18.85546875" bestFit="1" customWidth="1"/>
    <col min="9" max="9" width="3.140625" customWidth="1"/>
    <col min="10" max="13" width="10.28515625" bestFit="1" customWidth="1"/>
  </cols>
  <sheetData>
    <row r="1" spans="2:8" ht="18" x14ac:dyDescent="0.25">
      <c r="C1" s="1" t="s">
        <v>434</v>
      </c>
    </row>
    <row r="2" spans="2:8" ht="15.75" customHeight="1" x14ac:dyDescent="0.2">
      <c r="C2" s="3" t="s">
        <v>382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6"/>
      <c r="F6" s="318"/>
      <c r="G6" s="318"/>
      <c r="H6" s="319"/>
    </row>
    <row r="7" spans="2:8" ht="15.75" customHeight="1" x14ac:dyDescent="0.2">
      <c r="B7" s="8"/>
      <c r="C7" s="13" t="s">
        <v>368</v>
      </c>
      <c r="D7" s="84">
        <v>145000000</v>
      </c>
      <c r="E7" s="280"/>
      <c r="F7" s="320"/>
      <c r="G7" s="320"/>
      <c r="H7" s="41"/>
    </row>
    <row r="8" spans="2:8" ht="15.75" customHeight="1" x14ac:dyDescent="0.2">
      <c r="B8" s="8"/>
      <c r="C8" s="13" t="s">
        <v>52</v>
      </c>
      <c r="D8" s="84"/>
      <c r="E8" s="280"/>
      <c r="F8" s="320"/>
      <c r="G8" s="320"/>
      <c r="H8" s="41"/>
    </row>
    <row r="9" spans="2:8" ht="15.75" customHeight="1" x14ac:dyDescent="0.2">
      <c r="B9" s="8"/>
      <c r="C9" s="13" t="s">
        <v>6</v>
      </c>
      <c r="D9" s="152">
        <v>0.34</v>
      </c>
      <c r="E9" s="280"/>
      <c r="F9" s="320"/>
      <c r="G9" s="320"/>
      <c r="H9" s="41"/>
    </row>
    <row r="10" spans="2:8" ht="15.75" customHeight="1" x14ac:dyDescent="0.2">
      <c r="B10" s="8"/>
      <c r="C10" s="13" t="s">
        <v>369</v>
      </c>
      <c r="D10" s="264">
        <v>435</v>
      </c>
      <c r="E10" s="280"/>
      <c r="F10" s="320"/>
      <c r="G10" s="320"/>
      <c r="H10" s="41"/>
    </row>
    <row r="11" spans="2:8" ht="15.75" customHeight="1" x14ac:dyDescent="0.2">
      <c r="B11" s="8"/>
      <c r="C11" s="13" t="s">
        <v>370</v>
      </c>
      <c r="D11" s="315">
        <v>16.25</v>
      </c>
      <c r="E11" s="280"/>
      <c r="F11" s="320"/>
      <c r="G11" s="320"/>
      <c r="H11" s="41"/>
    </row>
    <row r="12" spans="2:8" ht="15.75" customHeight="1" x14ac:dyDescent="0.2">
      <c r="B12" s="8"/>
      <c r="C12" s="13" t="s">
        <v>371</v>
      </c>
      <c r="D12" s="152">
        <v>0.02</v>
      </c>
      <c r="E12" s="280"/>
      <c r="F12" s="320"/>
      <c r="G12" s="320"/>
      <c r="H12" s="41"/>
    </row>
    <row r="13" spans="2:8" ht="15.75" customHeight="1" x14ac:dyDescent="0.2">
      <c r="B13" s="8"/>
      <c r="C13" s="13" t="s">
        <v>372</v>
      </c>
      <c r="D13" s="315">
        <v>3.8</v>
      </c>
      <c r="E13" s="280"/>
      <c r="F13" s="320"/>
      <c r="G13" s="320"/>
      <c r="H13" s="41"/>
    </row>
    <row r="14" spans="2:8" ht="15.75" customHeight="1" x14ac:dyDescent="0.2">
      <c r="B14" s="8"/>
      <c r="C14" s="13" t="s">
        <v>373</v>
      </c>
      <c r="D14" s="152">
        <v>0.03</v>
      </c>
      <c r="E14" s="280"/>
      <c r="F14" s="320"/>
      <c r="G14" s="320"/>
      <c r="H14" s="41"/>
    </row>
    <row r="15" spans="2:8" ht="15.75" customHeight="1" x14ac:dyDescent="0.2">
      <c r="B15" s="8"/>
      <c r="C15" s="13" t="s">
        <v>207</v>
      </c>
      <c r="D15" s="152">
        <v>0.05</v>
      </c>
      <c r="E15" s="280"/>
      <c r="F15" s="320"/>
      <c r="G15" s="320"/>
      <c r="H15" s="41"/>
    </row>
    <row r="16" spans="2:8" ht="15.75" customHeight="1" x14ac:dyDescent="0.2">
      <c r="B16" s="8"/>
      <c r="C16" s="13"/>
      <c r="D16" s="152"/>
      <c r="E16" s="280"/>
      <c r="F16" s="320"/>
      <c r="G16" s="320"/>
      <c r="H16" s="41"/>
    </row>
    <row r="17" spans="2:13" ht="15.75" customHeight="1" x14ac:dyDescent="0.2">
      <c r="B17" s="8"/>
      <c r="C17" s="13"/>
      <c r="D17" s="227" t="s">
        <v>181</v>
      </c>
      <c r="E17" s="227" t="s">
        <v>182</v>
      </c>
      <c r="F17" s="227" t="s">
        <v>183</v>
      </c>
      <c r="G17" s="227" t="s">
        <v>184</v>
      </c>
      <c r="H17" s="41"/>
    </row>
    <row r="18" spans="2:13" ht="15.75" customHeight="1" x14ac:dyDescent="0.2">
      <c r="B18" s="8"/>
      <c r="C18" s="13" t="s">
        <v>381</v>
      </c>
      <c r="D18" s="279">
        <v>155000</v>
      </c>
      <c r="E18" s="90">
        <v>175000</v>
      </c>
      <c r="F18" s="90">
        <v>190000</v>
      </c>
      <c r="G18" s="90">
        <v>170000</v>
      </c>
      <c r="H18" s="41"/>
      <c r="J18" s="255"/>
      <c r="K18" s="255"/>
      <c r="L18" s="255"/>
      <c r="M18" s="255"/>
    </row>
    <row r="19" spans="2:13" ht="15.75" customHeight="1" x14ac:dyDescent="0.2">
      <c r="B19" s="8"/>
      <c r="C19" s="13" t="s">
        <v>374</v>
      </c>
      <c r="D19" s="279">
        <v>1120000</v>
      </c>
      <c r="E19" s="90">
        <v>1200000</v>
      </c>
      <c r="F19" s="90">
        <v>1360000</v>
      </c>
      <c r="G19" s="90">
        <v>1280000</v>
      </c>
      <c r="H19" s="41"/>
      <c r="J19" s="400"/>
      <c r="K19" s="400"/>
      <c r="L19" s="400"/>
      <c r="M19" s="400"/>
    </row>
    <row r="20" spans="2:13" ht="15.75" customHeight="1" x14ac:dyDescent="0.2">
      <c r="B20" s="8"/>
      <c r="C20" s="13" t="s">
        <v>375</v>
      </c>
      <c r="D20" s="90">
        <v>210000</v>
      </c>
      <c r="E20" s="90">
        <v>225000</v>
      </c>
      <c r="F20" s="90">
        <v>255000</v>
      </c>
      <c r="G20" s="90">
        <v>240000</v>
      </c>
      <c r="H20" s="41"/>
    </row>
    <row r="21" spans="2:13" ht="15.75" customHeight="1" x14ac:dyDescent="0.2">
      <c r="B21" s="8"/>
      <c r="C21" s="13"/>
      <c r="D21" s="316"/>
      <c r="E21" s="317"/>
      <c r="F21" s="321"/>
      <c r="G21" s="321"/>
      <c r="H21" s="41"/>
    </row>
    <row r="22" spans="2:13" ht="15.75" customHeight="1" x14ac:dyDescent="0.2">
      <c r="B22" s="8"/>
      <c r="C22" s="13" t="s">
        <v>309</v>
      </c>
      <c r="D22" s="152">
        <v>0.04</v>
      </c>
      <c r="E22" s="280"/>
      <c r="F22" s="320"/>
      <c r="G22" s="320"/>
      <c r="H22" s="41"/>
    </row>
    <row r="23" spans="2:13" ht="15.75" customHeight="1" thickBot="1" x14ac:dyDescent="0.25">
      <c r="B23" s="10"/>
      <c r="C23" s="28"/>
      <c r="D23" s="61"/>
      <c r="E23" s="11"/>
      <c r="F23" s="65"/>
      <c r="G23" s="65"/>
      <c r="H23" s="322"/>
    </row>
    <row r="24" spans="2:13" ht="15.75" customHeight="1" x14ac:dyDescent="0.2"/>
    <row r="25" spans="2:13" ht="15.75" customHeight="1" x14ac:dyDescent="0.2">
      <c r="C25" s="2" t="s">
        <v>2</v>
      </c>
    </row>
    <row r="26" spans="2:13" ht="15.75" customHeight="1" thickBot="1" x14ac:dyDescent="0.25"/>
    <row r="27" spans="2:13" ht="15.75" customHeight="1" x14ac:dyDescent="0.2">
      <c r="B27" s="15"/>
      <c r="C27" s="16"/>
      <c r="D27" s="16"/>
      <c r="E27" s="16"/>
      <c r="F27" s="16"/>
      <c r="G27" s="16"/>
      <c r="H27" s="16"/>
      <c r="I27" s="17"/>
      <c r="J27" s="30"/>
    </row>
    <row r="28" spans="2:13" ht="15.75" customHeight="1" x14ac:dyDescent="0.2">
      <c r="B28" s="18"/>
      <c r="C28" s="19" t="s">
        <v>376</v>
      </c>
      <c r="D28" s="20"/>
      <c r="E28" s="86">
        <f>D11</f>
        <v>16.25</v>
      </c>
      <c r="F28" s="86">
        <f>E28*(1+$D$12)</f>
        <v>16.574999999999999</v>
      </c>
      <c r="G28" s="86">
        <f>F28*(1+$D$12)</f>
        <v>16.906500000000001</v>
      </c>
      <c r="H28" s="86">
        <f>G28*(1+$D$12)</f>
        <v>17.244630000000001</v>
      </c>
      <c r="I28" s="21"/>
      <c r="J28" s="30"/>
    </row>
    <row r="29" spans="2:13" ht="15.75" customHeight="1" x14ac:dyDescent="0.2">
      <c r="B29" s="18"/>
      <c r="C29" s="19" t="s">
        <v>377</v>
      </c>
      <c r="D29" s="20"/>
      <c r="E29" s="86">
        <f>D13</f>
        <v>3.8</v>
      </c>
      <c r="F29" s="86">
        <f>E29*(1+$D$14)</f>
        <v>3.9139999999999997</v>
      </c>
      <c r="G29" s="86">
        <f>F29*(1+$D$14)</f>
        <v>4.0314199999999998</v>
      </c>
      <c r="H29" s="86">
        <f>G29*(1+$D$14)</f>
        <v>4.1523626</v>
      </c>
      <c r="I29" s="21"/>
      <c r="J29" s="30"/>
    </row>
    <row r="30" spans="2:13" ht="15.75" customHeight="1" x14ac:dyDescent="0.2">
      <c r="B30" s="18"/>
      <c r="C30" s="19" t="s">
        <v>380</v>
      </c>
      <c r="D30" s="20"/>
      <c r="E30" s="183">
        <f>D7/4</f>
        <v>36250000</v>
      </c>
      <c r="F30" s="183">
        <f>E30</f>
        <v>36250000</v>
      </c>
      <c r="G30" s="183">
        <f>F30</f>
        <v>36250000</v>
      </c>
      <c r="H30" s="183">
        <f>G30</f>
        <v>36250000</v>
      </c>
      <c r="I30" s="21"/>
      <c r="J30" s="30"/>
    </row>
    <row r="31" spans="2:13" ht="15.75" customHeight="1" x14ac:dyDescent="0.2">
      <c r="B31" s="18"/>
      <c r="C31" s="20"/>
      <c r="D31" s="20"/>
      <c r="E31" s="20"/>
      <c r="F31" s="20"/>
      <c r="G31" s="20"/>
      <c r="H31" s="20"/>
      <c r="I31" s="21"/>
      <c r="J31" s="30"/>
    </row>
    <row r="32" spans="2:13" ht="15.75" customHeight="1" x14ac:dyDescent="0.2">
      <c r="B32" s="18"/>
      <c r="C32" s="265"/>
      <c r="D32" s="266" t="s">
        <v>180</v>
      </c>
      <c r="E32" s="266" t="s">
        <v>181</v>
      </c>
      <c r="F32" s="266" t="s">
        <v>182</v>
      </c>
      <c r="G32" s="266" t="s">
        <v>183</v>
      </c>
      <c r="H32" s="266" t="s">
        <v>184</v>
      </c>
      <c r="I32" s="21"/>
      <c r="J32" s="30"/>
    </row>
    <row r="33" spans="2:10" ht="15.75" customHeight="1" x14ac:dyDescent="0.2">
      <c r="B33" s="18"/>
      <c r="C33" s="19" t="s">
        <v>254</v>
      </c>
      <c r="D33" s="19"/>
      <c r="E33" s="223">
        <f>D18*$D$10</f>
        <v>67425000</v>
      </c>
      <c r="F33" s="223">
        <f>E18*$D$10</f>
        <v>76125000</v>
      </c>
      <c r="G33" s="223">
        <f>F18*$D$10</f>
        <v>82650000</v>
      </c>
      <c r="H33" s="223">
        <f>G18*$D$10</f>
        <v>73950000</v>
      </c>
      <c r="I33" s="21"/>
      <c r="J33" s="30"/>
    </row>
    <row r="34" spans="2:10" ht="15.75" customHeight="1" x14ac:dyDescent="0.2">
      <c r="B34" s="18"/>
      <c r="C34" s="19" t="s">
        <v>378</v>
      </c>
      <c r="D34" s="19"/>
      <c r="E34" s="232">
        <f>D19*(E28)</f>
        <v>18200000</v>
      </c>
      <c r="F34" s="232">
        <f>E19*(F28)</f>
        <v>19890000</v>
      </c>
      <c r="G34" s="232">
        <f>F19*(G28)</f>
        <v>22992840</v>
      </c>
      <c r="H34" s="232">
        <f>G19*(H28)</f>
        <v>22073126.400000002</v>
      </c>
      <c r="I34" s="21"/>
      <c r="J34" s="30"/>
    </row>
    <row r="35" spans="2:10" ht="15.75" customHeight="1" x14ac:dyDescent="0.2">
      <c r="B35" s="18"/>
      <c r="C35" s="19" t="s">
        <v>379</v>
      </c>
      <c r="D35" s="19"/>
      <c r="E35" s="232">
        <f>E29*D20</f>
        <v>798000</v>
      </c>
      <c r="F35" s="232">
        <f>F29*E20</f>
        <v>880649.99999999988</v>
      </c>
      <c r="G35" s="232">
        <f>G29*F20</f>
        <v>1028012.1</v>
      </c>
      <c r="H35" s="232">
        <f>H29*G20</f>
        <v>996567.02399999998</v>
      </c>
      <c r="I35" s="21"/>
      <c r="J35" s="30"/>
    </row>
    <row r="36" spans="2:10" ht="15.75" customHeight="1" x14ac:dyDescent="0.2">
      <c r="B36" s="18"/>
      <c r="C36" s="19" t="s">
        <v>5</v>
      </c>
      <c r="D36" s="19"/>
      <c r="E36" s="278">
        <f>($D$7/4)/(1+$D$15)</f>
        <v>34523809.523809522</v>
      </c>
      <c r="F36" s="278">
        <f>($D$7/4)/((1+$D$15)^2)</f>
        <v>32879818.594104309</v>
      </c>
      <c r="G36" s="278">
        <f>($D$7/4)/((1+$D$15)^3)</f>
        <v>31314112.946766004</v>
      </c>
      <c r="H36" s="278">
        <f>($D$7/4)/((1+$D$15)^4)</f>
        <v>29822964.711205721</v>
      </c>
      <c r="I36" s="21"/>
      <c r="J36" s="30"/>
    </row>
    <row r="37" spans="2:10" ht="15.75" customHeight="1" x14ac:dyDescent="0.2">
      <c r="B37" s="18"/>
      <c r="C37" s="19" t="s">
        <v>8</v>
      </c>
      <c r="D37" s="20"/>
      <c r="E37" s="223">
        <f>E33-E34-E35-E36</f>
        <v>13903190.476190478</v>
      </c>
      <c r="F37" s="223">
        <f>F33-F34-F35-F36</f>
        <v>22474531.405895691</v>
      </c>
      <c r="G37" s="223">
        <f>G33-G34-G35-G36</f>
        <v>27315034.953233995</v>
      </c>
      <c r="H37" s="223">
        <f>H33-H34-H35-H36</f>
        <v>21057341.864794277</v>
      </c>
      <c r="I37" s="21"/>
      <c r="J37" s="30"/>
    </row>
    <row r="38" spans="2:10" ht="15.75" customHeight="1" x14ac:dyDescent="0.2">
      <c r="B38" s="18"/>
      <c r="C38" s="19" t="s">
        <v>79</v>
      </c>
      <c r="D38" s="19"/>
      <c r="E38" s="232">
        <f>E37*$D$9</f>
        <v>4727084.7619047631</v>
      </c>
      <c r="F38" s="232">
        <f>F37*$D$9</f>
        <v>7641340.6780045358</v>
      </c>
      <c r="G38" s="232">
        <f>G37*$D$9</f>
        <v>9287111.884099558</v>
      </c>
      <c r="H38" s="232">
        <f>H37*$D$9</f>
        <v>7159496.2340300549</v>
      </c>
      <c r="I38" s="21"/>
      <c r="J38" s="30"/>
    </row>
    <row r="39" spans="2:10" ht="15.75" customHeight="1" thickBot="1" x14ac:dyDescent="0.25">
      <c r="B39" s="18"/>
      <c r="C39" s="19" t="s">
        <v>115</v>
      </c>
      <c r="D39" s="19"/>
      <c r="E39" s="277">
        <f>E37-E38</f>
        <v>9176105.7142857146</v>
      </c>
      <c r="F39" s="277">
        <f>F37-F38</f>
        <v>14833190.727891155</v>
      </c>
      <c r="G39" s="277">
        <f>G37-G38</f>
        <v>18027923.069134437</v>
      </c>
      <c r="H39" s="277">
        <f>H37-H38</f>
        <v>13897845.630764222</v>
      </c>
      <c r="I39" s="21"/>
      <c r="J39" s="30"/>
    </row>
    <row r="40" spans="2:10" ht="15.75" customHeight="1" thickTop="1" x14ac:dyDescent="0.2">
      <c r="B40" s="18"/>
      <c r="C40" s="19" t="s">
        <v>11</v>
      </c>
      <c r="D40" s="19"/>
      <c r="E40" s="223">
        <f>E39+E36</f>
        <v>43699915.238095239</v>
      </c>
      <c r="F40" s="223">
        <f>F39+F36</f>
        <v>47713009.321995467</v>
      </c>
      <c r="G40" s="223">
        <f>G39+G36</f>
        <v>49342036.015900441</v>
      </c>
      <c r="H40" s="223">
        <f>H39+H36</f>
        <v>43720810.341969945</v>
      </c>
      <c r="I40" s="21"/>
      <c r="J40" s="30"/>
    </row>
    <row r="41" spans="2:10" ht="15.75" customHeight="1" x14ac:dyDescent="0.2">
      <c r="B41" s="18"/>
      <c r="C41" s="19"/>
      <c r="D41" s="19"/>
      <c r="E41" s="19"/>
      <c r="F41" s="19"/>
      <c r="G41" s="19"/>
      <c r="H41" s="19"/>
      <c r="I41" s="21"/>
      <c r="J41" s="30"/>
    </row>
    <row r="42" spans="2:10" ht="15.75" customHeight="1" x14ac:dyDescent="0.2">
      <c r="B42" s="18"/>
      <c r="C42" s="19" t="s">
        <v>119</v>
      </c>
      <c r="D42" s="79">
        <f>-D7</f>
        <v>-145000000</v>
      </c>
      <c r="E42" s="19"/>
      <c r="F42" s="19"/>
      <c r="G42" s="19"/>
      <c r="H42" s="19"/>
      <c r="I42" s="21"/>
      <c r="J42" s="30"/>
    </row>
    <row r="43" spans="2:10" ht="15.75" customHeight="1" x14ac:dyDescent="0.2">
      <c r="B43" s="18"/>
      <c r="C43" s="19"/>
      <c r="D43" s="19"/>
      <c r="E43" s="19"/>
      <c r="F43" s="19"/>
      <c r="G43" s="19"/>
      <c r="H43" s="19"/>
      <c r="I43" s="21"/>
      <c r="J43" s="30"/>
    </row>
    <row r="44" spans="2:10" ht="15.75" customHeight="1" x14ac:dyDescent="0.2">
      <c r="B44" s="18"/>
      <c r="C44" s="19" t="s">
        <v>120</v>
      </c>
      <c r="D44" s="183">
        <f>D42</f>
        <v>-145000000</v>
      </c>
      <c r="E44" s="86">
        <f>E40</f>
        <v>43699915.238095239</v>
      </c>
      <c r="F44" s="86">
        <f>F40</f>
        <v>47713009.321995467</v>
      </c>
      <c r="G44" s="86">
        <f>G40</f>
        <v>49342036.015900441</v>
      </c>
      <c r="H44" s="86">
        <f>H40</f>
        <v>43720810.341969945</v>
      </c>
      <c r="I44" s="21"/>
      <c r="J44" s="30"/>
    </row>
    <row r="45" spans="2:10" ht="15.75" customHeight="1" x14ac:dyDescent="0.2">
      <c r="B45" s="18"/>
      <c r="C45" s="20"/>
      <c r="D45" s="20"/>
      <c r="E45" s="20"/>
      <c r="F45" s="20"/>
      <c r="G45" s="20"/>
      <c r="H45" s="20"/>
      <c r="I45" s="21"/>
      <c r="J45" s="30"/>
    </row>
    <row r="46" spans="2:10" ht="15.75" customHeight="1" x14ac:dyDescent="0.25">
      <c r="B46" s="18"/>
      <c r="C46" s="19" t="s">
        <v>21</v>
      </c>
      <c r="D46" s="130">
        <f>NPV(D22,E40:H40)+D44</f>
        <v>22370130.740900367</v>
      </c>
      <c r="E46" s="265"/>
      <c r="F46" s="265"/>
      <c r="G46" s="265"/>
      <c r="H46" s="265"/>
      <c r="I46" s="21"/>
      <c r="J46" s="30"/>
    </row>
    <row r="47" spans="2:10" ht="15.75" customHeight="1" thickBot="1" x14ac:dyDescent="0.25">
      <c r="B47" s="23"/>
      <c r="C47" s="53"/>
      <c r="D47" s="53"/>
      <c r="E47" s="53"/>
      <c r="F47" s="53"/>
      <c r="G47" s="53"/>
      <c r="H47" s="53"/>
      <c r="I47" s="25"/>
      <c r="J47" s="30"/>
    </row>
    <row r="48" spans="2:10" ht="15.75" customHeight="1" x14ac:dyDescent="0.2">
      <c r="B48" s="14"/>
      <c r="C48" s="14"/>
      <c r="D48" s="14"/>
      <c r="E48" s="14"/>
      <c r="F48" s="14"/>
      <c r="G48" s="14"/>
      <c r="H48" s="14"/>
    </row>
    <row r="49" spans="4:4" ht="15.75" customHeight="1" x14ac:dyDescent="0.2"/>
    <row r="50" spans="4:4" ht="15.75" customHeight="1" x14ac:dyDescent="0.2">
      <c r="D50" s="26"/>
    </row>
    <row r="51" spans="4:4" ht="15.75" customHeight="1" x14ac:dyDescent="0.2"/>
    <row r="52" spans="4:4" ht="15.75" customHeight="1" x14ac:dyDescent="0.2"/>
    <row r="53" spans="4:4" ht="15.75" customHeight="1" x14ac:dyDescent="0.2"/>
    <row r="54" spans="4:4" ht="15.75" customHeight="1" x14ac:dyDescent="0.2"/>
    <row r="55" spans="4:4" ht="15.75" customHeight="1" x14ac:dyDescent="0.2"/>
    <row r="56" spans="4:4" ht="15.75" customHeight="1" x14ac:dyDescent="0.2"/>
    <row r="57" spans="4:4" ht="15.75" customHeight="1" x14ac:dyDescent="0.2"/>
    <row r="58" spans="4:4" ht="15.75" customHeight="1" x14ac:dyDescent="0.2"/>
  </sheetData>
  <phoneticPr fontId="0" type="noConversion"/>
  <pageMargins left="0.75" right="0.75" top="1" bottom="1" header="0.5" footer="0.5"/>
  <pageSetup scale="64" orientation="portrait" horizontalDpi="360" verticalDpi="36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85546875" bestFit="1" customWidth="1"/>
    <col min="5" max="5" width="3.140625" customWidth="1"/>
    <col min="6" max="7" width="18.140625" customWidth="1"/>
    <col min="8" max="9" width="3.140625" customWidth="1"/>
  </cols>
  <sheetData>
    <row r="1" spans="2:8" ht="18" x14ac:dyDescent="0.25">
      <c r="C1" s="1" t="s">
        <v>434</v>
      </c>
    </row>
    <row r="2" spans="2:8" ht="15.75" customHeight="1" x14ac:dyDescent="0.2">
      <c r="C2" s="3" t="s">
        <v>353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/>
    <row r="6" spans="2:8" ht="15.75" customHeight="1" x14ac:dyDescent="0.2">
      <c r="B6" s="5"/>
      <c r="C6" s="6"/>
      <c r="D6" s="6"/>
      <c r="E6" s="7"/>
    </row>
    <row r="7" spans="2:8" ht="15.75" customHeight="1" x14ac:dyDescent="0.2">
      <c r="B7" s="8"/>
      <c r="C7" s="273" t="s">
        <v>399</v>
      </c>
      <c r="D7" s="4"/>
      <c r="E7" s="9"/>
      <c r="H7" s="57"/>
    </row>
    <row r="8" spans="2:8" ht="15.75" customHeight="1" x14ac:dyDescent="0.2">
      <c r="B8" s="8"/>
      <c r="C8" s="13" t="s">
        <v>400</v>
      </c>
      <c r="D8" s="289">
        <v>7.75</v>
      </c>
      <c r="E8" s="9"/>
    </row>
    <row r="9" spans="2:8" ht="15.75" customHeight="1" x14ac:dyDescent="0.2">
      <c r="B9" s="8"/>
      <c r="C9" s="13" t="s">
        <v>401</v>
      </c>
      <c r="D9" s="90">
        <v>3200000</v>
      </c>
      <c r="E9" s="9"/>
    </row>
    <row r="10" spans="2:8" ht="15.75" customHeight="1" x14ac:dyDescent="0.2">
      <c r="B10" s="8"/>
      <c r="C10" s="13" t="s">
        <v>402</v>
      </c>
      <c r="D10" s="328">
        <v>3.8</v>
      </c>
      <c r="E10" s="9"/>
    </row>
    <row r="11" spans="2:8" ht="15.75" customHeight="1" x14ac:dyDescent="0.2">
      <c r="B11" s="8"/>
      <c r="C11" s="13" t="s">
        <v>31</v>
      </c>
      <c r="D11" s="274">
        <v>25000000</v>
      </c>
      <c r="E11" s="9"/>
    </row>
    <row r="12" spans="2:8" ht="15.75" customHeight="1" x14ac:dyDescent="0.2">
      <c r="B12" s="8"/>
      <c r="C12" s="13"/>
      <c r="D12" s="274"/>
      <c r="E12" s="9"/>
    </row>
    <row r="13" spans="2:8" ht="15.75" customHeight="1" x14ac:dyDescent="0.2">
      <c r="B13" s="8"/>
      <c r="C13" s="273" t="s">
        <v>403</v>
      </c>
      <c r="D13" s="83"/>
      <c r="E13" s="9"/>
    </row>
    <row r="14" spans="2:8" ht="15.75" customHeight="1" x14ac:dyDescent="0.2">
      <c r="B14" s="8"/>
      <c r="C14" s="13" t="s">
        <v>400</v>
      </c>
      <c r="D14" s="396">
        <f>D8</f>
        <v>7.75</v>
      </c>
      <c r="E14" s="9"/>
    </row>
    <row r="15" spans="2:8" ht="15.75" customHeight="1" x14ac:dyDescent="0.2">
      <c r="B15" s="8"/>
      <c r="C15" s="13" t="s">
        <v>401</v>
      </c>
      <c r="D15" s="90">
        <v>4900000</v>
      </c>
      <c r="E15" s="9"/>
    </row>
    <row r="16" spans="2:8" ht="15.75" customHeight="1" x14ac:dyDescent="0.2">
      <c r="B16" s="8"/>
      <c r="C16" s="13" t="s">
        <v>402</v>
      </c>
      <c r="D16" s="328">
        <v>4.3499999999999996</v>
      </c>
      <c r="E16" s="9"/>
    </row>
    <row r="17" spans="2:9" ht="15.75" customHeight="1" x14ac:dyDescent="0.2">
      <c r="B17" s="8"/>
      <c r="C17" s="13" t="s">
        <v>31</v>
      </c>
      <c r="D17" s="274">
        <v>34000000</v>
      </c>
      <c r="E17" s="9"/>
    </row>
    <row r="18" spans="2:9" ht="15.75" customHeight="1" x14ac:dyDescent="0.2">
      <c r="B18" s="8"/>
      <c r="C18" s="13" t="s">
        <v>404</v>
      </c>
      <c r="D18" s="84">
        <v>1000000</v>
      </c>
      <c r="E18" s="9"/>
    </row>
    <row r="19" spans="2:9" ht="15.75" customHeight="1" x14ac:dyDescent="0.2">
      <c r="B19" s="8"/>
      <c r="C19" s="13"/>
      <c r="D19" s="84"/>
      <c r="E19" s="9"/>
    </row>
    <row r="20" spans="2:9" ht="15.75" customHeight="1" x14ac:dyDescent="0.2">
      <c r="B20" s="8"/>
      <c r="C20" s="273" t="s">
        <v>405</v>
      </c>
      <c r="D20" s="84"/>
      <c r="E20" s="9"/>
    </row>
    <row r="21" spans="2:9" ht="15.75" customHeight="1" x14ac:dyDescent="0.2">
      <c r="B21" s="8"/>
      <c r="C21" s="13" t="s">
        <v>207</v>
      </c>
      <c r="D21" s="152">
        <v>0.03</v>
      </c>
      <c r="E21" s="9"/>
    </row>
    <row r="22" spans="2:9" ht="15.75" customHeight="1" x14ac:dyDescent="0.2">
      <c r="B22" s="8"/>
      <c r="C22" s="13" t="s">
        <v>406</v>
      </c>
      <c r="D22" s="90">
        <v>3</v>
      </c>
      <c r="E22" s="9"/>
    </row>
    <row r="23" spans="2:9" ht="15.75" customHeight="1" x14ac:dyDescent="0.2">
      <c r="B23" s="8"/>
      <c r="C23" s="13" t="s">
        <v>6</v>
      </c>
      <c r="D23" s="152">
        <v>0.34</v>
      </c>
      <c r="E23" s="9"/>
    </row>
    <row r="24" spans="2:9" ht="15.75" customHeight="1" x14ac:dyDescent="0.2">
      <c r="B24" s="8"/>
      <c r="C24" s="13" t="s">
        <v>309</v>
      </c>
      <c r="D24" s="83">
        <v>7.0000000000000007E-2</v>
      </c>
      <c r="E24" s="9"/>
    </row>
    <row r="25" spans="2:9" ht="15.75" customHeight="1" thickBot="1" x14ac:dyDescent="0.25">
      <c r="B25" s="10"/>
      <c r="C25" s="28"/>
      <c r="D25" s="61"/>
      <c r="E25" s="12"/>
    </row>
    <row r="26" spans="2:9" ht="15.75" customHeight="1" x14ac:dyDescent="0.2"/>
    <row r="27" spans="2:9" ht="15.75" customHeight="1" x14ac:dyDescent="0.2">
      <c r="C27" s="2" t="s">
        <v>2</v>
      </c>
    </row>
    <row r="28" spans="2:9" ht="15.75" customHeight="1" thickBot="1" x14ac:dyDescent="0.25"/>
    <row r="29" spans="2:9" ht="15.75" customHeight="1" x14ac:dyDescent="0.2">
      <c r="B29" s="15"/>
      <c r="C29" s="16"/>
      <c r="D29" s="16"/>
      <c r="E29" s="16"/>
      <c r="F29" s="16"/>
      <c r="G29" s="16"/>
      <c r="H29" s="17"/>
      <c r="I29" s="30"/>
    </row>
    <row r="30" spans="2:9" ht="15.75" customHeight="1" x14ac:dyDescent="0.35">
      <c r="B30" s="18"/>
      <c r="C30" s="265" t="s">
        <v>399</v>
      </c>
      <c r="D30" s="329" t="s">
        <v>181</v>
      </c>
      <c r="E30" s="330"/>
      <c r="F30" s="330" t="s">
        <v>182</v>
      </c>
      <c r="G30" s="330" t="s">
        <v>183</v>
      </c>
      <c r="H30" s="21"/>
      <c r="I30" s="30"/>
    </row>
    <row r="31" spans="2:9" ht="15.75" customHeight="1" x14ac:dyDescent="0.2">
      <c r="B31" s="18"/>
      <c r="C31" s="19" t="s">
        <v>10</v>
      </c>
      <c r="D31" s="275">
        <f>D8*D9</f>
        <v>24800000</v>
      </c>
      <c r="E31" s="20"/>
      <c r="F31" s="183">
        <f>D31</f>
        <v>24800000</v>
      </c>
      <c r="G31" s="183">
        <f>F31</f>
        <v>24800000</v>
      </c>
      <c r="H31" s="21"/>
      <c r="I31" s="30"/>
    </row>
    <row r="32" spans="2:9" ht="15.75" customHeight="1" x14ac:dyDescent="0.2">
      <c r="B32" s="18"/>
      <c r="C32" s="19" t="s">
        <v>407</v>
      </c>
      <c r="D32" s="139">
        <f>D10*D9</f>
        <v>12160000</v>
      </c>
      <c r="E32" s="20"/>
      <c r="F32" s="80">
        <f>D32</f>
        <v>12160000</v>
      </c>
      <c r="G32" s="80">
        <f>F32</f>
        <v>12160000</v>
      </c>
      <c r="H32" s="21"/>
      <c r="I32" s="30"/>
    </row>
    <row r="33" spans="2:9" ht="15.75" customHeight="1" x14ac:dyDescent="0.2">
      <c r="B33" s="18"/>
      <c r="C33" s="19" t="s">
        <v>5</v>
      </c>
      <c r="D33" s="226">
        <f>(D11/D22)/(1+D21)</f>
        <v>8090614.8867313908</v>
      </c>
      <c r="E33" s="20"/>
      <c r="F33" s="82">
        <f>D33/(1+D21)</f>
        <v>7854965.9094479522</v>
      </c>
      <c r="G33" s="82">
        <f>F33/(1+D21)</f>
        <v>7626180.4946096623</v>
      </c>
      <c r="H33" s="21"/>
      <c r="I33" s="30"/>
    </row>
    <row r="34" spans="2:9" ht="15.75" customHeight="1" x14ac:dyDescent="0.2">
      <c r="B34" s="18"/>
      <c r="C34" s="19" t="s">
        <v>8</v>
      </c>
      <c r="D34" s="96">
        <f>D31-D32-D33</f>
        <v>4549385.1132686092</v>
      </c>
      <c r="E34" s="20"/>
      <c r="F34" s="96">
        <f>F31-F32-F33</f>
        <v>4785034.0905520478</v>
      </c>
      <c r="G34" s="96">
        <f>G31-G32-G33</f>
        <v>5013819.5053903377</v>
      </c>
      <c r="H34" s="21"/>
      <c r="I34" s="30"/>
    </row>
    <row r="35" spans="2:9" ht="15.75" customHeight="1" x14ac:dyDescent="0.2">
      <c r="B35" s="18"/>
      <c r="C35" s="19" t="s">
        <v>155</v>
      </c>
      <c r="D35" s="139">
        <f>D34*$D$23</f>
        <v>1546790.9385113271</v>
      </c>
      <c r="E35" s="20"/>
      <c r="F35" s="139">
        <f>F34*$D$23</f>
        <v>1626911.5907876964</v>
      </c>
      <c r="G35" s="139">
        <f>G34*$D$23</f>
        <v>1704698.6318327149</v>
      </c>
      <c r="H35" s="21"/>
      <c r="I35" s="30"/>
    </row>
    <row r="36" spans="2:9" ht="15.75" customHeight="1" thickBot="1" x14ac:dyDescent="0.25">
      <c r="B36" s="18"/>
      <c r="C36" s="19" t="s">
        <v>115</v>
      </c>
      <c r="D36" s="160">
        <f>D34-D35</f>
        <v>3002594.1747572822</v>
      </c>
      <c r="E36" s="20"/>
      <c r="F36" s="160">
        <f>F34-F35</f>
        <v>3158122.4997643512</v>
      </c>
      <c r="G36" s="160">
        <f>G34-G35</f>
        <v>3309120.8735576225</v>
      </c>
      <c r="H36" s="21"/>
      <c r="I36" s="30"/>
    </row>
    <row r="37" spans="2:9" ht="15.75" customHeight="1" thickTop="1" x14ac:dyDescent="0.2">
      <c r="B37" s="18"/>
      <c r="C37" s="19" t="s">
        <v>11</v>
      </c>
      <c r="D37" s="275">
        <f>D36+D33</f>
        <v>11093209.061488673</v>
      </c>
      <c r="E37" s="20"/>
      <c r="F37" s="275">
        <f>F36+F33</f>
        <v>11013088.409212302</v>
      </c>
      <c r="G37" s="275">
        <f>G36+G33</f>
        <v>10935301.368167285</v>
      </c>
      <c r="H37" s="21"/>
      <c r="I37" s="30"/>
    </row>
    <row r="38" spans="2:9" ht="15.75" customHeight="1" x14ac:dyDescent="0.2">
      <c r="B38" s="18"/>
      <c r="C38" s="19"/>
      <c r="D38" s="141"/>
      <c r="E38" s="20"/>
      <c r="F38" s="284"/>
      <c r="G38" s="284"/>
      <c r="H38" s="21"/>
      <c r="I38" s="30"/>
    </row>
    <row r="39" spans="2:9" ht="15.75" customHeight="1" x14ac:dyDescent="0.25">
      <c r="B39" s="18"/>
      <c r="C39" s="19" t="s">
        <v>308</v>
      </c>
      <c r="D39" s="138">
        <f>NPV(D24,D37:G37)-D11</f>
        <v>3913206.3286944441</v>
      </c>
      <c r="E39" s="19"/>
      <c r="F39" s="284"/>
      <c r="G39" s="284"/>
      <c r="H39" s="21"/>
      <c r="I39" s="31"/>
    </row>
    <row r="40" spans="2:9" ht="15.75" customHeight="1" x14ac:dyDescent="0.2">
      <c r="B40" s="18"/>
      <c r="C40" s="19"/>
      <c r="D40" s="141"/>
      <c r="E40" s="19"/>
      <c r="F40" s="284"/>
      <c r="G40" s="284"/>
      <c r="H40" s="21"/>
      <c r="I40" s="31"/>
    </row>
    <row r="41" spans="2:9" ht="15.75" customHeight="1" x14ac:dyDescent="0.2">
      <c r="B41" s="18"/>
      <c r="C41" s="265" t="s">
        <v>403</v>
      </c>
      <c r="D41" s="141"/>
      <c r="E41" s="19"/>
      <c r="F41" s="284"/>
      <c r="G41" s="284"/>
      <c r="H41" s="21"/>
      <c r="I41" s="31"/>
    </row>
    <row r="42" spans="2:9" ht="15.75" customHeight="1" x14ac:dyDescent="0.2">
      <c r="B42" s="18"/>
      <c r="C42" s="265"/>
      <c r="D42" s="141"/>
      <c r="E42" s="19"/>
      <c r="F42" s="284"/>
      <c r="G42" s="284"/>
      <c r="H42" s="21"/>
      <c r="I42" s="31"/>
    </row>
    <row r="43" spans="2:9" ht="15.75" customHeight="1" x14ac:dyDescent="0.2">
      <c r="B43" s="18"/>
      <c r="C43" s="265" t="s">
        <v>28</v>
      </c>
      <c r="D43" s="141"/>
      <c r="E43" s="19"/>
      <c r="F43" s="284"/>
      <c r="G43" s="284"/>
      <c r="H43" s="21"/>
      <c r="I43" s="31"/>
    </row>
    <row r="44" spans="2:9" ht="15.75" customHeight="1" x14ac:dyDescent="0.2">
      <c r="B44" s="18"/>
      <c r="C44" s="19" t="s">
        <v>424</v>
      </c>
      <c r="D44" s="96">
        <f>D18</f>
        <v>1000000</v>
      </c>
      <c r="E44" s="19"/>
      <c r="F44" s="284"/>
      <c r="G44" s="284"/>
      <c r="H44" s="21"/>
      <c r="I44" s="31"/>
    </row>
    <row r="45" spans="2:9" ht="15.75" customHeight="1" x14ac:dyDescent="0.2">
      <c r="B45" s="18"/>
      <c r="C45" s="19" t="s">
        <v>79</v>
      </c>
      <c r="D45" s="226">
        <f>(0-D44)*D23</f>
        <v>-340000</v>
      </c>
      <c r="E45" s="19"/>
      <c r="F45" s="284"/>
      <c r="G45" s="284"/>
      <c r="H45" s="21"/>
      <c r="I45" s="31"/>
    </row>
    <row r="46" spans="2:9" ht="15.75" customHeight="1" x14ac:dyDescent="0.2">
      <c r="B46" s="18"/>
      <c r="C46" s="19" t="s">
        <v>200</v>
      </c>
      <c r="D46" s="96">
        <f>D44+D45</f>
        <v>660000</v>
      </c>
      <c r="E46" s="19"/>
      <c r="F46" s="284"/>
      <c r="G46" s="284"/>
      <c r="H46" s="21"/>
      <c r="I46" s="31"/>
    </row>
    <row r="47" spans="2:9" ht="15.75" customHeight="1" x14ac:dyDescent="0.2">
      <c r="B47" s="18"/>
      <c r="C47" s="19"/>
      <c r="D47" s="141"/>
      <c r="E47" s="19"/>
      <c r="F47" s="284"/>
      <c r="G47" s="284"/>
      <c r="H47" s="21"/>
      <c r="I47" s="31"/>
    </row>
    <row r="48" spans="2:9" ht="15.75" customHeight="1" x14ac:dyDescent="0.35">
      <c r="B48" s="18"/>
      <c r="C48" s="265"/>
      <c r="D48" s="329" t="s">
        <v>181</v>
      </c>
      <c r="E48" s="330"/>
      <c r="F48" s="330" t="s">
        <v>182</v>
      </c>
      <c r="G48" s="330" t="s">
        <v>183</v>
      </c>
      <c r="H48" s="21"/>
      <c r="I48" s="31"/>
    </row>
    <row r="49" spans="2:9" ht="15.75" customHeight="1" x14ac:dyDescent="0.2">
      <c r="B49" s="18"/>
      <c r="C49" s="19" t="s">
        <v>10</v>
      </c>
      <c r="D49" s="275">
        <f>D14*D15</f>
        <v>37975000</v>
      </c>
      <c r="E49" s="20"/>
      <c r="F49" s="183">
        <f>D49</f>
        <v>37975000</v>
      </c>
      <c r="G49" s="183">
        <f>F49</f>
        <v>37975000</v>
      </c>
      <c r="H49" s="21"/>
      <c r="I49" s="31"/>
    </row>
    <row r="50" spans="2:9" ht="15.75" customHeight="1" x14ac:dyDescent="0.2">
      <c r="B50" s="18"/>
      <c r="C50" s="19" t="s">
        <v>407</v>
      </c>
      <c r="D50" s="139">
        <f>D15*D16</f>
        <v>21315000</v>
      </c>
      <c r="E50" s="20"/>
      <c r="F50" s="80">
        <f>D50</f>
        <v>21315000</v>
      </c>
      <c r="G50" s="80">
        <f>F50</f>
        <v>21315000</v>
      </c>
      <c r="H50" s="21"/>
      <c r="I50" s="31"/>
    </row>
    <row r="51" spans="2:9" ht="15.75" customHeight="1" x14ac:dyDescent="0.2">
      <c r="B51" s="18"/>
      <c r="C51" s="19" t="s">
        <v>5</v>
      </c>
      <c r="D51" s="226">
        <f>(D17/D22)/(1+D21)</f>
        <v>11003236.245954692</v>
      </c>
      <c r="E51" s="20"/>
      <c r="F51" s="82">
        <f>D51/(1+D21)</f>
        <v>10682753.636849215</v>
      </c>
      <c r="G51" s="82">
        <f>F51/(1+D21)</f>
        <v>10371605.472669141</v>
      </c>
      <c r="H51" s="21"/>
      <c r="I51" s="31"/>
    </row>
    <row r="52" spans="2:9" ht="15.75" customHeight="1" x14ac:dyDescent="0.2">
      <c r="B52" s="18"/>
      <c r="C52" s="19" t="s">
        <v>8</v>
      </c>
      <c r="D52" s="96">
        <f>D49-D50-D51</f>
        <v>5656763.7540453076</v>
      </c>
      <c r="E52" s="20"/>
      <c r="F52" s="96">
        <f>F49-F50-F51</f>
        <v>5977246.3631507847</v>
      </c>
      <c r="G52" s="96">
        <f>G49-G50-G51</f>
        <v>6288394.5273308586</v>
      </c>
      <c r="H52" s="21"/>
      <c r="I52" s="31"/>
    </row>
    <row r="53" spans="2:9" ht="15.75" customHeight="1" x14ac:dyDescent="0.2">
      <c r="B53" s="18"/>
      <c r="C53" s="19" t="s">
        <v>155</v>
      </c>
      <c r="D53" s="139">
        <f>D52*$D$23</f>
        <v>1923299.6763754047</v>
      </c>
      <c r="E53" s="20"/>
      <c r="F53" s="139">
        <f>F52*$D$23</f>
        <v>2032263.763471267</v>
      </c>
      <c r="G53" s="139">
        <f>G52*$D$23</f>
        <v>2138054.1392924921</v>
      </c>
      <c r="H53" s="21"/>
      <c r="I53" s="31"/>
    </row>
    <row r="54" spans="2:9" ht="15.75" customHeight="1" thickBot="1" x14ac:dyDescent="0.25">
      <c r="B54" s="18"/>
      <c r="C54" s="19" t="s">
        <v>115</v>
      </c>
      <c r="D54" s="160">
        <f>D52-D53</f>
        <v>3733464.0776699027</v>
      </c>
      <c r="E54" s="20"/>
      <c r="F54" s="160">
        <f>F52-F53</f>
        <v>3944982.5996795176</v>
      </c>
      <c r="G54" s="160">
        <f>G52-G53</f>
        <v>4150340.3880383666</v>
      </c>
      <c r="H54" s="21"/>
      <c r="I54" s="31"/>
    </row>
    <row r="55" spans="2:9" ht="15.75" customHeight="1" thickTop="1" x14ac:dyDescent="0.2">
      <c r="B55" s="18"/>
      <c r="C55" s="19" t="s">
        <v>11</v>
      </c>
      <c r="D55" s="275">
        <f>D54+D51</f>
        <v>14736700.323624596</v>
      </c>
      <c r="E55" s="20"/>
      <c r="F55" s="275">
        <f>F54+F51</f>
        <v>14627736.236528732</v>
      </c>
      <c r="G55" s="275">
        <f>G54+G51</f>
        <v>14521945.860707508</v>
      </c>
      <c r="H55" s="21"/>
      <c r="I55" s="31"/>
    </row>
    <row r="56" spans="2:9" ht="15.75" customHeight="1" x14ac:dyDescent="0.2">
      <c r="B56" s="18"/>
      <c r="C56" s="19"/>
      <c r="D56" s="141"/>
      <c r="E56" s="20"/>
      <c r="F56" s="284"/>
      <c r="G56" s="284"/>
      <c r="H56" s="21"/>
      <c r="I56" s="31"/>
    </row>
    <row r="57" spans="2:9" ht="15.75" customHeight="1" x14ac:dyDescent="0.25">
      <c r="B57" s="18"/>
      <c r="C57" s="19" t="s">
        <v>308</v>
      </c>
      <c r="D57" s="138">
        <f>NPV(D24,D55,F55,G55)-D17+(D46/(1+D24)^3)</f>
        <v>4942038.6339998255</v>
      </c>
      <c r="E57" s="19"/>
      <c r="F57" s="284"/>
      <c r="G57" s="284"/>
      <c r="H57" s="21"/>
      <c r="I57" s="31"/>
    </row>
    <row r="58" spans="2:9" ht="15.75" customHeight="1" x14ac:dyDescent="0.2">
      <c r="B58" s="18"/>
      <c r="C58" s="19"/>
      <c r="D58" s="141"/>
      <c r="E58" s="19"/>
      <c r="F58" s="20"/>
      <c r="G58" s="20"/>
      <c r="H58" s="21"/>
      <c r="I58" s="31"/>
    </row>
    <row r="59" spans="2:9" ht="15.75" customHeight="1" x14ac:dyDescent="0.25">
      <c r="B59" s="18"/>
      <c r="C59" s="19" t="s">
        <v>408</v>
      </c>
      <c r="D59" s="331" t="str">
        <f>IF(D57&gt;D39,"headache and arthritis","headache only")</f>
        <v>headache and arthritis</v>
      </c>
      <c r="E59" s="19"/>
      <c r="F59" s="20"/>
      <c r="G59" s="20"/>
      <c r="H59" s="21"/>
      <c r="I59" s="31"/>
    </row>
    <row r="60" spans="2:9" ht="15.75" customHeight="1" x14ac:dyDescent="0.2">
      <c r="B60" s="18"/>
      <c r="C60" s="19" t="s">
        <v>409</v>
      </c>
      <c r="D60" s="142"/>
      <c r="E60" s="19"/>
      <c r="F60" s="20"/>
      <c r="G60" s="20"/>
      <c r="H60" s="21"/>
      <c r="I60" s="31"/>
    </row>
    <row r="61" spans="2:9" ht="15.75" customHeight="1" thickBot="1" x14ac:dyDescent="0.25">
      <c r="B61" s="23"/>
      <c r="C61" s="53"/>
      <c r="D61" s="63"/>
      <c r="E61" s="24"/>
      <c r="F61" s="24"/>
      <c r="G61" s="24"/>
      <c r="H61" s="25"/>
      <c r="I61" s="30"/>
    </row>
    <row r="62" spans="2:9" ht="15.75" customHeight="1" x14ac:dyDescent="0.2">
      <c r="B62" s="14"/>
      <c r="C62" s="14"/>
      <c r="D62" s="14"/>
      <c r="E62" s="14"/>
      <c r="F62" s="14"/>
      <c r="G62" s="14"/>
      <c r="H62" s="14"/>
      <c r="I62" s="14"/>
    </row>
    <row r="63" spans="2:9" ht="15.75" customHeight="1" x14ac:dyDescent="0.2"/>
    <row r="64" spans="2:9" ht="15.75" customHeight="1" x14ac:dyDescent="0.2">
      <c r="D64" s="26"/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</sheetData>
  <phoneticPr fontId="0" type="noConversion"/>
  <pageMargins left="0.75" right="0.75" top="1" bottom="1" header="0.5" footer="0.5"/>
  <pageSetup scale="70" orientation="portrait" horizontalDpi="360" verticalDpi="36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zoomScaleNormal="100" workbookViewId="0">
      <selection activeCell="C3" sqref="C3"/>
    </sheetView>
  </sheetViews>
  <sheetFormatPr defaultRowHeight="15" x14ac:dyDescent="0.2"/>
  <cols>
    <col min="1" max="1" width="9.140625" style="200"/>
    <col min="2" max="2" width="3.140625" style="200" customWidth="1"/>
    <col min="3" max="3" width="21.85546875" style="200" bestFit="1" customWidth="1"/>
    <col min="4" max="4" width="17.5703125" style="200" bestFit="1" customWidth="1"/>
    <col min="5" max="6" width="16.28515625" style="200" customWidth="1"/>
    <col min="7" max="7" width="16.28515625" style="200" bestFit="1" customWidth="1"/>
    <col min="8" max="8" width="15.5703125" style="200" bestFit="1" customWidth="1"/>
  </cols>
  <sheetData>
    <row r="1" spans="1:8" ht="18" x14ac:dyDescent="0.25">
      <c r="A1" s="3"/>
      <c r="B1" s="3"/>
      <c r="C1" s="1" t="s">
        <v>434</v>
      </c>
    </row>
    <row r="2" spans="1:8" ht="15.75" customHeight="1" x14ac:dyDescent="0.2">
      <c r="A2" s="3"/>
      <c r="B2" s="3"/>
      <c r="C2" s="3" t="s">
        <v>367</v>
      </c>
    </row>
    <row r="3" spans="1:8" ht="15.75" customHeight="1" x14ac:dyDescent="0.2">
      <c r="A3" s="3"/>
      <c r="B3" s="3"/>
      <c r="C3" s="3"/>
    </row>
    <row r="4" spans="1:8" ht="15.75" customHeight="1" x14ac:dyDescent="0.2">
      <c r="A4" s="3"/>
      <c r="B4" s="3"/>
      <c r="C4" s="2" t="s">
        <v>135</v>
      </c>
    </row>
    <row r="5" spans="1:8" ht="15.75" customHeight="1" thickBot="1" x14ac:dyDescent="0.25">
      <c r="A5" s="3"/>
      <c r="B5" s="3"/>
      <c r="C5" s="2"/>
    </row>
    <row r="6" spans="1:8" ht="15.75" customHeight="1" x14ac:dyDescent="0.2">
      <c r="B6" s="291"/>
      <c r="C6" s="292"/>
      <c r="D6" s="292"/>
      <c r="E6" s="293"/>
    </row>
    <row r="7" spans="1:8" ht="15.75" customHeight="1" x14ac:dyDescent="0.2">
      <c r="B7" s="294"/>
      <c r="C7" s="164" t="s">
        <v>326</v>
      </c>
      <c r="D7" s="295">
        <v>6100</v>
      </c>
      <c r="E7" s="296"/>
    </row>
    <row r="8" spans="1:8" ht="15.75" customHeight="1" x14ac:dyDescent="0.2">
      <c r="B8" s="294"/>
      <c r="C8" s="164" t="s">
        <v>343</v>
      </c>
      <c r="D8" s="297">
        <v>1900</v>
      </c>
      <c r="E8" s="298"/>
      <c r="F8" s="290"/>
      <c r="G8" s="290"/>
      <c r="H8" s="290"/>
    </row>
    <row r="9" spans="1:8" ht="15.75" customHeight="1" x14ac:dyDescent="0.2">
      <c r="B9" s="294"/>
      <c r="C9" s="164" t="s">
        <v>344</v>
      </c>
      <c r="D9" s="297">
        <v>2250</v>
      </c>
      <c r="E9" s="298"/>
      <c r="F9" s="290"/>
      <c r="G9" s="290"/>
      <c r="H9" s="290"/>
    </row>
    <row r="10" spans="1:8" ht="15.75" customHeight="1" x14ac:dyDescent="0.2">
      <c r="B10" s="294"/>
      <c r="C10" s="164" t="s">
        <v>345</v>
      </c>
      <c r="D10" s="297">
        <v>2700</v>
      </c>
      <c r="E10" s="298"/>
      <c r="F10" s="290"/>
      <c r="G10" s="290"/>
      <c r="H10" s="290"/>
    </row>
    <row r="11" spans="1:8" ht="15.75" customHeight="1" x14ac:dyDescent="0.2">
      <c r="B11" s="294"/>
      <c r="C11" s="164" t="s">
        <v>346</v>
      </c>
      <c r="D11" s="297">
        <v>2450</v>
      </c>
      <c r="E11" s="298"/>
      <c r="F11" s="290"/>
      <c r="G11" s="290"/>
      <c r="H11" s="290"/>
    </row>
    <row r="12" spans="1:8" ht="15.75" customHeight="1" x14ac:dyDescent="0.2">
      <c r="B12" s="294"/>
      <c r="C12" s="164" t="s">
        <v>347</v>
      </c>
      <c r="D12" s="297">
        <v>2300</v>
      </c>
      <c r="E12" s="298"/>
      <c r="F12" s="290"/>
      <c r="G12" s="290"/>
      <c r="H12" s="290"/>
    </row>
    <row r="13" spans="1:8" ht="15.75" customHeight="1" x14ac:dyDescent="0.2">
      <c r="B13" s="294"/>
      <c r="C13" s="164" t="s">
        <v>7</v>
      </c>
      <c r="D13" s="299">
        <v>0.37</v>
      </c>
      <c r="E13" s="296"/>
    </row>
    <row r="14" spans="1:8" ht="15.75" customHeight="1" x14ac:dyDescent="0.2">
      <c r="B14" s="294"/>
      <c r="C14" s="164" t="s">
        <v>81</v>
      </c>
      <c r="D14" s="295">
        <v>2250000</v>
      </c>
      <c r="E14" s="296"/>
    </row>
    <row r="15" spans="1:8" ht="15.75" customHeight="1" x14ac:dyDescent="0.2">
      <c r="B15" s="294"/>
      <c r="C15" s="164" t="s">
        <v>327</v>
      </c>
      <c r="D15" s="299">
        <v>0.1</v>
      </c>
      <c r="E15" s="296"/>
    </row>
    <row r="16" spans="1:8" ht="15.75" customHeight="1" x14ac:dyDescent="0.2">
      <c r="B16" s="294"/>
      <c r="C16" s="164" t="s">
        <v>328</v>
      </c>
      <c r="D16" s="297">
        <v>250</v>
      </c>
      <c r="E16" s="296"/>
    </row>
    <row r="17" spans="2:5" ht="15.75" customHeight="1" x14ac:dyDescent="0.2">
      <c r="B17" s="294"/>
      <c r="C17" s="164" t="s">
        <v>329</v>
      </c>
      <c r="D17" s="295">
        <v>4500</v>
      </c>
      <c r="E17" s="296"/>
    </row>
    <row r="18" spans="2:5" ht="15.75" customHeight="1" x14ac:dyDescent="0.2">
      <c r="B18" s="294"/>
      <c r="C18" s="164" t="s">
        <v>330</v>
      </c>
      <c r="D18" s="300">
        <v>0.4</v>
      </c>
      <c r="E18" s="296"/>
    </row>
    <row r="19" spans="2:5" ht="15.75" customHeight="1" x14ac:dyDescent="0.2">
      <c r="B19" s="294"/>
      <c r="C19" s="164" t="s">
        <v>331</v>
      </c>
      <c r="D19" s="300">
        <v>0.1</v>
      </c>
      <c r="E19" s="296"/>
    </row>
    <row r="20" spans="2:5" ht="15.75" customHeight="1" x14ac:dyDescent="0.2">
      <c r="B20" s="294"/>
      <c r="C20" s="164" t="s">
        <v>165</v>
      </c>
      <c r="D20" s="295">
        <v>19000000</v>
      </c>
      <c r="E20" s="296"/>
    </row>
    <row r="21" spans="2:5" ht="15.75" customHeight="1" x14ac:dyDescent="0.2">
      <c r="B21" s="294"/>
      <c r="C21" s="164" t="s">
        <v>350</v>
      </c>
      <c r="D21" s="300"/>
      <c r="E21" s="296"/>
    </row>
    <row r="22" spans="2:5" ht="15.75" customHeight="1" x14ac:dyDescent="0.2">
      <c r="B22" s="294"/>
      <c r="C22" s="164" t="s">
        <v>351</v>
      </c>
      <c r="D22" s="305">
        <v>3100000</v>
      </c>
      <c r="E22" s="296"/>
    </row>
    <row r="23" spans="2:5" ht="15.75" customHeight="1" x14ac:dyDescent="0.2">
      <c r="B23" s="294"/>
      <c r="C23" s="164" t="s">
        <v>352</v>
      </c>
      <c r="D23" s="305">
        <v>4700000</v>
      </c>
      <c r="E23" s="296"/>
    </row>
    <row r="24" spans="2:5" ht="15.75" customHeight="1" x14ac:dyDescent="0.2">
      <c r="B24" s="294"/>
      <c r="C24" s="164" t="s">
        <v>6</v>
      </c>
      <c r="D24" s="300">
        <v>0.4</v>
      </c>
      <c r="E24" s="296"/>
    </row>
    <row r="25" spans="2:5" ht="15.75" customHeight="1" x14ac:dyDescent="0.2">
      <c r="B25" s="294"/>
      <c r="C25" s="164" t="s">
        <v>20</v>
      </c>
      <c r="D25" s="300">
        <v>0.11</v>
      </c>
      <c r="E25" s="296"/>
    </row>
    <row r="26" spans="2:5" ht="15.75" customHeight="1" x14ac:dyDescent="0.2">
      <c r="B26" s="294"/>
      <c r="C26" s="114" t="s">
        <v>275</v>
      </c>
      <c r="D26" s="401">
        <v>0.1429</v>
      </c>
      <c r="E26" s="296"/>
    </row>
    <row r="27" spans="2:5" ht="15.75" customHeight="1" x14ac:dyDescent="0.2">
      <c r="B27" s="294"/>
      <c r="C27" s="114" t="s">
        <v>276</v>
      </c>
      <c r="D27" s="401">
        <v>0.24490000000000001</v>
      </c>
      <c r="E27" s="296"/>
    </row>
    <row r="28" spans="2:5" ht="15.75" customHeight="1" x14ac:dyDescent="0.2">
      <c r="B28" s="294"/>
      <c r="C28" s="114" t="s">
        <v>277</v>
      </c>
      <c r="D28" s="401">
        <v>0.1749</v>
      </c>
      <c r="E28" s="296"/>
    </row>
    <row r="29" spans="2:5" ht="15.75" customHeight="1" thickBot="1" x14ac:dyDescent="0.25">
      <c r="B29" s="301"/>
      <c r="C29" s="302"/>
      <c r="D29" s="303"/>
      <c r="E29" s="304"/>
    </row>
    <row r="30" spans="2:5" ht="15.75" customHeight="1" x14ac:dyDescent="0.2"/>
    <row r="31" spans="2:5" ht="15.75" customHeight="1" x14ac:dyDescent="0.2">
      <c r="C31" s="2" t="s">
        <v>143</v>
      </c>
    </row>
    <row r="32" spans="2:5" ht="15.75" customHeight="1" thickBot="1" x14ac:dyDescent="0.25"/>
    <row r="33" spans="2:9" ht="15.75" customHeight="1" x14ac:dyDescent="0.2">
      <c r="B33" s="306"/>
      <c r="C33" s="307"/>
      <c r="D33" s="308"/>
      <c r="E33" s="308"/>
      <c r="F33" s="308"/>
      <c r="G33" s="308"/>
      <c r="H33" s="308"/>
      <c r="I33" s="178"/>
    </row>
    <row r="34" spans="2:9" ht="15.75" customHeight="1" x14ac:dyDescent="0.2">
      <c r="B34" s="309"/>
      <c r="C34" s="181" t="s">
        <v>92</v>
      </c>
      <c r="D34" s="218"/>
      <c r="E34" s="218"/>
      <c r="F34" s="218"/>
      <c r="G34" s="218"/>
      <c r="H34" s="218"/>
      <c r="I34" s="179"/>
    </row>
    <row r="35" spans="2:9" ht="15.75" customHeight="1" x14ac:dyDescent="0.2">
      <c r="B35" s="309"/>
      <c r="C35" s="218" t="s">
        <v>332</v>
      </c>
      <c r="D35" s="206">
        <f>-D15*D51</f>
        <v>-1159000</v>
      </c>
      <c r="E35" s="218"/>
      <c r="F35" s="218"/>
      <c r="G35" s="218"/>
      <c r="H35" s="218"/>
      <c r="I35" s="179"/>
    </row>
    <row r="36" spans="2:9" ht="15.75" customHeight="1" x14ac:dyDescent="0.2">
      <c r="B36" s="309"/>
      <c r="C36" s="218" t="s">
        <v>333</v>
      </c>
      <c r="D36" s="210">
        <f>-D19*D52</f>
        <v>112500</v>
      </c>
      <c r="E36" s="218"/>
      <c r="F36" s="218"/>
      <c r="G36" s="218"/>
      <c r="H36" s="218"/>
      <c r="I36" s="179"/>
    </row>
    <row r="37" spans="2:9" ht="15.75" customHeight="1" x14ac:dyDescent="0.2">
      <c r="B37" s="309"/>
      <c r="C37" s="218"/>
      <c r="D37" s="206">
        <f>SUM(D35:D36)</f>
        <v>-1046500</v>
      </c>
      <c r="E37" s="218"/>
      <c r="F37" s="218"/>
      <c r="G37" s="218"/>
      <c r="H37" s="218"/>
      <c r="I37" s="179"/>
    </row>
    <row r="38" spans="2:9" ht="15.75" customHeight="1" x14ac:dyDescent="0.2">
      <c r="B38" s="309"/>
      <c r="C38" s="218"/>
      <c r="D38" s="218"/>
      <c r="E38" s="218"/>
      <c r="F38" s="218"/>
      <c r="G38" s="218"/>
      <c r="H38" s="218"/>
      <c r="I38" s="179"/>
    </row>
    <row r="39" spans="2:9" ht="15.75" customHeight="1" x14ac:dyDescent="0.2">
      <c r="B39" s="309"/>
      <c r="C39" s="181" t="s">
        <v>423</v>
      </c>
      <c r="D39" s="218"/>
      <c r="E39" s="218"/>
      <c r="F39" s="218"/>
      <c r="G39" s="218"/>
      <c r="H39" s="218"/>
      <c r="I39" s="179"/>
    </row>
    <row r="40" spans="2:9" ht="15.75" customHeight="1" x14ac:dyDescent="0.2">
      <c r="B40" s="309"/>
      <c r="C40" s="218" t="s">
        <v>165</v>
      </c>
      <c r="D40" s="269">
        <f>-D20</f>
        <v>-19000000</v>
      </c>
      <c r="E40" s="218"/>
      <c r="F40" s="218"/>
      <c r="G40" s="218"/>
      <c r="H40" s="218"/>
      <c r="I40" s="179"/>
    </row>
    <row r="41" spans="2:9" ht="15.75" customHeight="1" x14ac:dyDescent="0.2">
      <c r="B41" s="309"/>
      <c r="C41" s="218" t="s">
        <v>334</v>
      </c>
      <c r="D41" s="206">
        <f>SUM(D40:D40)</f>
        <v>-19000000</v>
      </c>
      <c r="E41" s="218"/>
      <c r="F41" s="218"/>
      <c r="G41" s="218"/>
      <c r="H41" s="218"/>
      <c r="I41" s="179"/>
    </row>
    <row r="42" spans="2:9" ht="15.75" customHeight="1" x14ac:dyDescent="0.2">
      <c r="B42" s="309"/>
      <c r="C42" s="218"/>
      <c r="D42" s="206"/>
      <c r="E42" s="218"/>
      <c r="F42" s="218"/>
      <c r="G42" s="218"/>
      <c r="H42" s="218"/>
      <c r="I42" s="179"/>
    </row>
    <row r="43" spans="2:9" ht="15.75" customHeight="1" x14ac:dyDescent="0.2">
      <c r="B43" s="309"/>
      <c r="C43" s="218" t="s">
        <v>425</v>
      </c>
      <c r="D43" s="206"/>
      <c r="E43" s="206">
        <f>D20-D63-E63-F63-G63-H63</f>
        <v>8308700</v>
      </c>
      <c r="F43" s="218"/>
      <c r="G43" s="218"/>
      <c r="H43" s="218"/>
      <c r="I43" s="179"/>
    </row>
    <row r="44" spans="2:9" ht="15.75" customHeight="1" x14ac:dyDescent="0.2">
      <c r="B44" s="309"/>
      <c r="C44" s="218"/>
      <c r="D44" s="206"/>
      <c r="E44" s="218"/>
      <c r="F44" s="218"/>
      <c r="G44" s="218"/>
      <c r="H44" s="218"/>
      <c r="I44" s="179"/>
    </row>
    <row r="45" spans="2:9" ht="15.75" customHeight="1" x14ac:dyDescent="0.2">
      <c r="B45" s="309"/>
      <c r="C45" s="181" t="s">
        <v>348</v>
      </c>
      <c r="D45" s="206"/>
      <c r="E45" s="218"/>
      <c r="F45" s="218"/>
      <c r="G45" s="218"/>
      <c r="H45" s="218"/>
      <c r="I45" s="179"/>
    </row>
    <row r="46" spans="2:9" ht="15.75" customHeight="1" x14ac:dyDescent="0.2">
      <c r="B46" s="309"/>
      <c r="C46" s="218" t="s">
        <v>349</v>
      </c>
      <c r="D46" s="206">
        <f>D23</f>
        <v>4700000</v>
      </c>
      <c r="E46" s="218"/>
      <c r="F46" s="218"/>
      <c r="G46" s="218"/>
      <c r="H46" s="218"/>
      <c r="I46" s="179"/>
    </row>
    <row r="47" spans="2:9" ht="15.75" customHeight="1" x14ac:dyDescent="0.2">
      <c r="B47" s="309"/>
      <c r="C47" s="218" t="s">
        <v>79</v>
      </c>
      <c r="D47" s="210">
        <f>(E43-D23)*D24</f>
        <v>1443480</v>
      </c>
      <c r="E47" s="218"/>
      <c r="F47" s="218"/>
      <c r="G47" s="218"/>
      <c r="H47" s="218"/>
      <c r="I47" s="179"/>
    </row>
    <row r="48" spans="2:9" ht="15.75" customHeight="1" x14ac:dyDescent="0.2">
      <c r="B48" s="309"/>
      <c r="C48" s="218" t="s">
        <v>200</v>
      </c>
      <c r="D48" s="206">
        <f>D46+D47</f>
        <v>6143480</v>
      </c>
      <c r="E48" s="218"/>
      <c r="F48" s="218"/>
      <c r="G48" s="218"/>
      <c r="H48" s="218"/>
      <c r="I48" s="179"/>
    </row>
    <row r="49" spans="2:9" ht="15.75" customHeight="1" x14ac:dyDescent="0.2">
      <c r="B49" s="309"/>
      <c r="C49" s="218"/>
      <c r="D49" s="218"/>
      <c r="E49" s="218"/>
      <c r="F49" s="218"/>
      <c r="G49" s="218"/>
      <c r="H49" s="218"/>
      <c r="I49" s="179"/>
    </row>
    <row r="50" spans="2:9" ht="15.75" customHeight="1" x14ac:dyDescent="0.2">
      <c r="B50" s="309"/>
      <c r="C50" s="218" t="s">
        <v>10</v>
      </c>
      <c r="D50" s="310" t="s">
        <v>181</v>
      </c>
      <c r="E50" s="310" t="s">
        <v>182</v>
      </c>
      <c r="F50" s="310" t="s">
        <v>183</v>
      </c>
      <c r="G50" s="310" t="s">
        <v>184</v>
      </c>
      <c r="H50" s="310" t="s">
        <v>231</v>
      </c>
      <c r="I50" s="179"/>
    </row>
    <row r="51" spans="2:9" ht="15.75" customHeight="1" x14ac:dyDescent="0.2">
      <c r="B51" s="309"/>
      <c r="C51" s="218" t="s">
        <v>426</v>
      </c>
      <c r="D51" s="206">
        <f>D8*$D$7</f>
        <v>11590000</v>
      </c>
      <c r="E51" s="206">
        <f>D7*D9</f>
        <v>13725000</v>
      </c>
      <c r="F51" s="206">
        <f>D7*D10</f>
        <v>16470000</v>
      </c>
      <c r="G51" s="206">
        <f>D7*D11</f>
        <v>14945000</v>
      </c>
      <c r="H51" s="206">
        <f>D7*D12</f>
        <v>14030000</v>
      </c>
      <c r="I51" s="179"/>
    </row>
    <row r="52" spans="2:9" ht="15.75" customHeight="1" x14ac:dyDescent="0.2">
      <c r="B52" s="309"/>
      <c r="C52" s="218" t="s">
        <v>427</v>
      </c>
      <c r="D52" s="210">
        <f>-$D$16*$D$17</f>
        <v>-1125000</v>
      </c>
      <c r="E52" s="210">
        <f>D52</f>
        <v>-1125000</v>
      </c>
      <c r="F52" s="210">
        <f>E52</f>
        <v>-1125000</v>
      </c>
      <c r="G52" s="210">
        <f>F52</f>
        <v>-1125000</v>
      </c>
      <c r="H52" s="210">
        <f>G52</f>
        <v>-1125000</v>
      </c>
      <c r="I52" s="179"/>
    </row>
    <row r="53" spans="2:9" ht="15.75" customHeight="1" x14ac:dyDescent="0.2">
      <c r="B53" s="309"/>
      <c r="C53" s="218" t="s">
        <v>200</v>
      </c>
      <c r="D53" s="206">
        <f>SUM(D51:D52)</f>
        <v>10465000</v>
      </c>
      <c r="E53" s="206">
        <f>SUM(E51:E52)</f>
        <v>12600000</v>
      </c>
      <c r="F53" s="206">
        <f>SUM(F51:F52)</f>
        <v>15345000</v>
      </c>
      <c r="G53" s="206">
        <f>SUM(G51:G52)</f>
        <v>13820000</v>
      </c>
      <c r="H53" s="206">
        <f>SUM(H51:H52)</f>
        <v>12905000</v>
      </c>
      <c r="I53" s="179"/>
    </row>
    <row r="54" spans="2:9" ht="15.75" customHeight="1" x14ac:dyDescent="0.2">
      <c r="B54" s="309"/>
      <c r="C54" s="218"/>
      <c r="D54" s="218"/>
      <c r="E54" s="218"/>
      <c r="F54" s="218"/>
      <c r="G54" s="218"/>
      <c r="H54" s="218"/>
      <c r="I54" s="179"/>
    </row>
    <row r="55" spans="2:9" ht="15.75" customHeight="1" x14ac:dyDescent="0.2">
      <c r="B55" s="309"/>
      <c r="C55" s="218" t="s">
        <v>80</v>
      </c>
      <c r="D55" s="218"/>
      <c r="E55" s="218"/>
      <c r="F55" s="218"/>
      <c r="G55" s="218"/>
      <c r="H55" s="218"/>
      <c r="I55" s="179"/>
    </row>
    <row r="56" spans="2:9" ht="15.75" customHeight="1" x14ac:dyDescent="0.2">
      <c r="B56" s="309"/>
      <c r="C56" s="218" t="s">
        <v>426</v>
      </c>
      <c r="D56" s="206">
        <f>D51*$D$13</f>
        <v>4288300</v>
      </c>
      <c r="E56" s="206">
        <f>E51*$D$13</f>
        <v>5078250</v>
      </c>
      <c r="F56" s="206">
        <f>F51*$D$13</f>
        <v>6093900</v>
      </c>
      <c r="G56" s="206">
        <f>G51*$D$13</f>
        <v>5529650</v>
      </c>
      <c r="H56" s="206">
        <f>H51*$D$13</f>
        <v>5191100</v>
      </c>
      <c r="I56" s="179"/>
    </row>
    <row r="57" spans="2:9" ht="15.75" customHeight="1" x14ac:dyDescent="0.2">
      <c r="B57" s="309"/>
      <c r="C57" s="218" t="s">
        <v>427</v>
      </c>
      <c r="D57" s="210">
        <f>D52*$D$18</f>
        <v>-450000</v>
      </c>
      <c r="E57" s="210">
        <f>E52*$D$18</f>
        <v>-450000</v>
      </c>
      <c r="F57" s="210">
        <f>F52*$D$18</f>
        <v>-450000</v>
      </c>
      <c r="G57" s="210">
        <f>G52*$D$18</f>
        <v>-450000</v>
      </c>
      <c r="H57" s="210">
        <f>H52*$D$18</f>
        <v>-450000</v>
      </c>
      <c r="I57" s="179"/>
    </row>
    <row r="58" spans="2:9" ht="15.75" customHeight="1" x14ac:dyDescent="0.2">
      <c r="B58" s="309"/>
      <c r="C58" s="218" t="s">
        <v>200</v>
      </c>
      <c r="D58" s="206">
        <f>SUM(D56:D57)</f>
        <v>3838300</v>
      </c>
      <c r="E58" s="206">
        <f>SUM(E56:E57)</f>
        <v>4628250</v>
      </c>
      <c r="F58" s="206">
        <f>SUM(F56:F57)</f>
        <v>5643900</v>
      </c>
      <c r="G58" s="206">
        <f>SUM(G56:G57)</f>
        <v>5079650</v>
      </c>
      <c r="H58" s="206">
        <f>SUM(H56:H57)</f>
        <v>4741100</v>
      </c>
      <c r="I58" s="179"/>
    </row>
    <row r="59" spans="2:9" ht="15.75" customHeight="1" x14ac:dyDescent="0.2">
      <c r="B59" s="309"/>
      <c r="C59" s="218"/>
      <c r="D59" s="214"/>
      <c r="E59" s="214"/>
      <c r="F59" s="214"/>
      <c r="G59" s="214"/>
      <c r="H59" s="214"/>
      <c r="I59" s="179"/>
    </row>
    <row r="60" spans="2:9" ht="15.75" customHeight="1" x14ac:dyDescent="0.2">
      <c r="B60" s="309"/>
      <c r="C60" s="218" t="s">
        <v>10</v>
      </c>
      <c r="D60" s="206">
        <f>D53</f>
        <v>10465000</v>
      </c>
      <c r="E60" s="206">
        <f>E53</f>
        <v>12600000</v>
      </c>
      <c r="F60" s="206">
        <f>F53</f>
        <v>15345000</v>
      </c>
      <c r="G60" s="206">
        <f>G53</f>
        <v>13820000</v>
      </c>
      <c r="H60" s="206">
        <f>H53</f>
        <v>12905000</v>
      </c>
      <c r="I60" s="179"/>
    </row>
    <row r="61" spans="2:9" ht="15.75" customHeight="1" x14ac:dyDescent="0.2">
      <c r="B61" s="309"/>
      <c r="C61" s="218" t="s">
        <v>335</v>
      </c>
      <c r="D61" s="209">
        <f>D58</f>
        <v>3838300</v>
      </c>
      <c r="E61" s="209">
        <f>E58</f>
        <v>4628250</v>
      </c>
      <c r="F61" s="209">
        <f>F58</f>
        <v>5643900</v>
      </c>
      <c r="G61" s="209">
        <f>G58</f>
        <v>5079650</v>
      </c>
      <c r="H61" s="209">
        <f>H58</f>
        <v>4741100</v>
      </c>
      <c r="I61" s="179"/>
    </row>
    <row r="62" spans="2:9" ht="15.75" customHeight="1" x14ac:dyDescent="0.2">
      <c r="B62" s="309"/>
      <c r="C62" s="218" t="s">
        <v>81</v>
      </c>
      <c r="D62" s="209">
        <f>D14</f>
        <v>2250000</v>
      </c>
      <c r="E62" s="209">
        <f>D62</f>
        <v>2250000</v>
      </c>
      <c r="F62" s="209">
        <f>E62</f>
        <v>2250000</v>
      </c>
      <c r="G62" s="209">
        <f>F62</f>
        <v>2250000</v>
      </c>
      <c r="H62" s="209">
        <f>G62</f>
        <v>2250000</v>
      </c>
      <c r="I62" s="179"/>
    </row>
    <row r="63" spans="2:9" ht="15.75" customHeight="1" x14ac:dyDescent="0.2">
      <c r="B63" s="309"/>
      <c r="C63" s="218" t="s">
        <v>336</v>
      </c>
      <c r="D63" s="210">
        <v>0</v>
      </c>
      <c r="E63" s="210">
        <v>0</v>
      </c>
      <c r="F63" s="210">
        <f>$D$20*D26</f>
        <v>2715100</v>
      </c>
      <c r="G63" s="210">
        <f>$D$20*D27</f>
        <v>4653100</v>
      </c>
      <c r="H63" s="210">
        <f>$D$20*D28</f>
        <v>3323100</v>
      </c>
      <c r="I63" s="179"/>
    </row>
    <row r="64" spans="2:9" ht="15.75" customHeight="1" x14ac:dyDescent="0.2">
      <c r="B64" s="309"/>
      <c r="C64" s="218" t="s">
        <v>8</v>
      </c>
      <c r="D64" s="206">
        <f>D60-D61-D62-D63</f>
        <v>4376700</v>
      </c>
      <c r="E64" s="206">
        <f>E60-E61-E62-E63</f>
        <v>5721750</v>
      </c>
      <c r="F64" s="206">
        <f>F60-F61-F62-F63</f>
        <v>4736000</v>
      </c>
      <c r="G64" s="206">
        <f>G60-G61-G62-G63</f>
        <v>1837250</v>
      </c>
      <c r="H64" s="206">
        <f>H60-H61-H62-H63</f>
        <v>2590800</v>
      </c>
      <c r="I64" s="179"/>
    </row>
    <row r="65" spans="2:11" ht="15.75" customHeight="1" x14ac:dyDescent="0.2">
      <c r="B65" s="309"/>
      <c r="C65" s="218" t="s">
        <v>155</v>
      </c>
      <c r="D65" s="210">
        <f>$D$24*D64</f>
        <v>1750680</v>
      </c>
      <c r="E65" s="210">
        <f>$D$24*E64</f>
        <v>2288700</v>
      </c>
      <c r="F65" s="210">
        <f>$D$24*F64</f>
        <v>1894400</v>
      </c>
      <c r="G65" s="210">
        <f>$D$24*G64</f>
        <v>734900</v>
      </c>
      <c r="H65" s="210">
        <f>$D$24*H64</f>
        <v>1036320</v>
      </c>
      <c r="I65" s="179"/>
    </row>
    <row r="66" spans="2:11" ht="15.75" customHeight="1" x14ac:dyDescent="0.2">
      <c r="B66" s="309"/>
      <c r="C66" s="218" t="s">
        <v>337</v>
      </c>
      <c r="D66" s="206">
        <f>D64-D65</f>
        <v>2626020</v>
      </c>
      <c r="E66" s="206">
        <f>E64-E65</f>
        <v>3433050</v>
      </c>
      <c r="F66" s="206">
        <f>F64-F65</f>
        <v>2841600</v>
      </c>
      <c r="G66" s="206">
        <f>G64-G65</f>
        <v>1102350</v>
      </c>
      <c r="H66" s="206">
        <f>H64-H65</f>
        <v>1554480</v>
      </c>
      <c r="I66" s="179"/>
    </row>
    <row r="67" spans="2:11" ht="15.75" customHeight="1" x14ac:dyDescent="0.2">
      <c r="B67" s="309"/>
      <c r="C67" s="311" t="s">
        <v>338</v>
      </c>
      <c r="D67" s="210">
        <f>-D63</f>
        <v>0</v>
      </c>
      <c r="E67" s="210">
        <f>-E63</f>
        <v>0</v>
      </c>
      <c r="F67" s="210">
        <f>F63</f>
        <v>2715100</v>
      </c>
      <c r="G67" s="210">
        <f>G63</f>
        <v>4653100</v>
      </c>
      <c r="H67" s="210">
        <f>H63</f>
        <v>3323100</v>
      </c>
      <c r="I67" s="179"/>
    </row>
    <row r="68" spans="2:11" ht="15.75" customHeight="1" x14ac:dyDescent="0.2">
      <c r="B68" s="309"/>
      <c r="C68" s="218" t="s">
        <v>11</v>
      </c>
      <c r="D68" s="206">
        <f>SUM(D66:D67)</f>
        <v>2626020</v>
      </c>
      <c r="E68" s="206">
        <f>SUM(E66:E67)</f>
        <v>3433050</v>
      </c>
      <c r="F68" s="206">
        <f>SUM(F66:F67)</f>
        <v>5556700</v>
      </c>
      <c r="G68" s="206">
        <f>SUM(G66:G67)</f>
        <v>5755450</v>
      </c>
      <c r="H68" s="206">
        <f>SUM(H66:H67)</f>
        <v>4877580</v>
      </c>
      <c r="I68" s="179"/>
    </row>
    <row r="69" spans="2:11" ht="15.75" customHeight="1" x14ac:dyDescent="0.2">
      <c r="B69" s="309"/>
      <c r="C69" s="218"/>
      <c r="D69" s="214"/>
      <c r="E69" s="214"/>
      <c r="F69" s="214"/>
      <c r="G69" s="214"/>
      <c r="H69" s="214"/>
      <c r="I69" s="179"/>
    </row>
    <row r="70" spans="2:11" ht="15.75" customHeight="1" x14ac:dyDescent="0.2">
      <c r="B70" s="309"/>
      <c r="C70" s="218" t="s">
        <v>189</v>
      </c>
      <c r="D70" s="214"/>
      <c r="E70" s="214"/>
      <c r="F70" s="214"/>
      <c r="G70" s="214"/>
      <c r="H70" s="214"/>
      <c r="I70" s="179"/>
    </row>
    <row r="71" spans="2:11" ht="15.75" customHeight="1" x14ac:dyDescent="0.2">
      <c r="B71" s="309"/>
      <c r="C71" s="218" t="s">
        <v>339</v>
      </c>
      <c r="D71" s="206">
        <f>-D37</f>
        <v>1046500</v>
      </c>
      <c r="E71" s="206">
        <f>D72</f>
        <v>1260000</v>
      </c>
      <c r="F71" s="206">
        <f>E72</f>
        <v>1534500</v>
      </c>
      <c r="G71" s="206">
        <f>F72</f>
        <v>1382000</v>
      </c>
      <c r="H71" s="206">
        <f>G72</f>
        <v>1290500</v>
      </c>
      <c r="I71" s="179"/>
    </row>
    <row r="72" spans="2:11" ht="15.75" customHeight="1" x14ac:dyDescent="0.2">
      <c r="B72" s="309"/>
      <c r="C72" s="218" t="s">
        <v>340</v>
      </c>
      <c r="D72" s="209">
        <f>E53*$D$15</f>
        <v>1260000</v>
      </c>
      <c r="E72" s="209">
        <f t="shared" ref="E72:G72" si="0">F53*$D$15</f>
        <v>1534500</v>
      </c>
      <c r="F72" s="209">
        <f t="shared" si="0"/>
        <v>1382000</v>
      </c>
      <c r="G72" s="209">
        <f t="shared" si="0"/>
        <v>1290500</v>
      </c>
      <c r="H72" s="209">
        <v>0</v>
      </c>
      <c r="I72" s="179"/>
    </row>
    <row r="73" spans="2:11" ht="15.75" customHeight="1" x14ac:dyDescent="0.2">
      <c r="B73" s="309"/>
      <c r="C73" s="218" t="s">
        <v>427</v>
      </c>
      <c r="D73" s="210"/>
      <c r="E73" s="210"/>
      <c r="F73" s="210"/>
      <c r="G73" s="210"/>
      <c r="H73" s="210">
        <f>-D36</f>
        <v>-112500</v>
      </c>
      <c r="I73" s="179"/>
    </row>
    <row r="74" spans="2:11" ht="15.75" customHeight="1" x14ac:dyDescent="0.2">
      <c r="B74" s="309"/>
      <c r="C74" s="218" t="s">
        <v>341</v>
      </c>
      <c r="D74" s="206">
        <f>D71-D72</f>
        <v>-213500</v>
      </c>
      <c r="E74" s="206">
        <f>E71-E72</f>
        <v>-274500</v>
      </c>
      <c r="F74" s="206">
        <f>F71-F72</f>
        <v>152500</v>
      </c>
      <c r="G74" s="206">
        <f>G71-G72</f>
        <v>91500</v>
      </c>
      <c r="H74" s="206">
        <f>H71-H72+H73</f>
        <v>1178000</v>
      </c>
      <c r="I74" s="179"/>
      <c r="K74" s="398"/>
    </row>
    <row r="75" spans="2:11" ht="15.75" customHeight="1" x14ac:dyDescent="0.2">
      <c r="B75" s="309"/>
      <c r="C75" s="218"/>
      <c r="D75" s="206"/>
      <c r="E75" s="206"/>
      <c r="F75" s="206"/>
      <c r="G75" s="206"/>
      <c r="H75" s="206"/>
      <c r="I75" s="179"/>
    </row>
    <row r="76" spans="2:11" ht="15.75" customHeight="1" x14ac:dyDescent="0.2">
      <c r="B76" s="309"/>
      <c r="C76" s="218" t="s">
        <v>119</v>
      </c>
      <c r="D76" s="206"/>
      <c r="E76" s="206">
        <f>D41</f>
        <v>-19000000</v>
      </c>
      <c r="F76" s="206"/>
      <c r="G76" s="206"/>
      <c r="H76" s="206">
        <f>D48</f>
        <v>6143480</v>
      </c>
      <c r="I76" s="179"/>
    </row>
    <row r="77" spans="2:11" ht="15.75" customHeight="1" x14ac:dyDescent="0.2">
      <c r="B77" s="309"/>
      <c r="C77" s="218"/>
      <c r="D77" s="214"/>
      <c r="E77" s="214"/>
      <c r="F77" s="214"/>
      <c r="G77" s="214"/>
      <c r="H77" s="214"/>
      <c r="I77" s="179"/>
    </row>
    <row r="78" spans="2:11" ht="15.75" customHeight="1" x14ac:dyDescent="0.2">
      <c r="B78" s="309"/>
      <c r="C78" s="218" t="s">
        <v>342</v>
      </c>
      <c r="D78" s="206">
        <f>D68+D74+D76</f>
        <v>2412520</v>
      </c>
      <c r="E78" s="206">
        <f>E68+E74+E76</f>
        <v>-15841450</v>
      </c>
      <c r="F78" s="206">
        <f>F68+F74+F76</f>
        <v>5709200</v>
      </c>
      <c r="G78" s="206">
        <f>G68+G74+G76</f>
        <v>5846950</v>
      </c>
      <c r="H78" s="206">
        <f>H68+H74+H76</f>
        <v>12199060</v>
      </c>
      <c r="I78" s="179"/>
    </row>
    <row r="79" spans="2:11" ht="15.75" customHeight="1" x14ac:dyDescent="0.2">
      <c r="B79" s="309"/>
      <c r="C79" s="218"/>
      <c r="D79" s="218"/>
      <c r="E79" s="218"/>
      <c r="F79" s="218"/>
      <c r="G79" s="218"/>
      <c r="H79" s="218"/>
      <c r="I79" s="179"/>
    </row>
    <row r="80" spans="2:11" ht="15.75" customHeight="1" x14ac:dyDescent="0.25">
      <c r="B80" s="309"/>
      <c r="C80" s="218" t="s">
        <v>21</v>
      </c>
      <c r="D80" s="130">
        <f>NPV(D25,D78:H78)+D37</f>
        <v>3535298.5077939425</v>
      </c>
      <c r="E80" s="218"/>
      <c r="F80" s="218"/>
      <c r="G80" s="218"/>
      <c r="H80" s="218"/>
      <c r="I80" s="179"/>
    </row>
    <row r="81" spans="2:9" ht="15.75" customHeight="1" thickBot="1" x14ac:dyDescent="0.25">
      <c r="B81" s="312"/>
      <c r="C81" s="313"/>
      <c r="D81" s="313"/>
      <c r="E81" s="313"/>
      <c r="F81" s="313"/>
      <c r="G81" s="313"/>
      <c r="H81" s="313"/>
      <c r="I81" s="199"/>
    </row>
    <row r="82" spans="2:9" ht="15.75" customHeight="1" x14ac:dyDescent="0.2"/>
    <row r="83" spans="2:9" ht="15.75" customHeight="1" x14ac:dyDescent="0.2"/>
    <row r="84" spans="2:9" ht="15.75" customHeight="1" x14ac:dyDescent="0.2"/>
    <row r="85" spans="2:9" ht="15.75" customHeight="1" x14ac:dyDescent="0.2"/>
  </sheetData>
  <phoneticPr fontId="29" type="noConversion"/>
  <pageMargins left="0.75" right="0.75" top="1" bottom="1" header="0.5" footer="0.5"/>
  <pageSetup scale="73" orientation="portrait" r:id="rId1"/>
  <headerFooter alignWithMargins="0"/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6" width="17.85546875" bestFit="1" customWidth="1"/>
    <col min="7" max="7" width="19.85546875" bestFit="1" customWidth="1"/>
    <col min="8" max="8" width="3.140625" customWidth="1"/>
  </cols>
  <sheetData>
    <row r="1" spans="2:7" ht="17.25" customHeight="1" x14ac:dyDescent="0.25">
      <c r="C1" s="1" t="s">
        <v>434</v>
      </c>
    </row>
    <row r="2" spans="2:7" ht="15.75" customHeight="1" x14ac:dyDescent="0.2">
      <c r="C2" s="3" t="s">
        <v>4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4"/>
    </row>
    <row r="6" spans="2:7" ht="15.75" customHeight="1" x14ac:dyDescent="0.2">
      <c r="B6" s="5"/>
      <c r="C6" s="6"/>
      <c r="D6" s="6"/>
      <c r="E6" s="7"/>
      <c r="F6" s="14"/>
      <c r="G6" s="14"/>
    </row>
    <row r="7" spans="2:7" ht="15.75" customHeight="1" x14ac:dyDescent="0.2">
      <c r="B7" s="8"/>
      <c r="C7" s="13" t="s">
        <v>17</v>
      </c>
      <c r="D7" s="84">
        <v>1650000</v>
      </c>
      <c r="E7" s="9"/>
      <c r="F7" s="14"/>
      <c r="G7" s="14"/>
    </row>
    <row r="8" spans="2:7" ht="15.75" customHeight="1" x14ac:dyDescent="0.2">
      <c r="B8" s="8"/>
      <c r="C8" s="13" t="s">
        <v>18</v>
      </c>
      <c r="D8" s="84">
        <v>1240000</v>
      </c>
      <c r="E8" s="9"/>
      <c r="F8" s="14"/>
      <c r="G8" s="14"/>
    </row>
    <row r="9" spans="2:7" ht="15.75" customHeight="1" x14ac:dyDescent="0.2">
      <c r="B9" s="8"/>
      <c r="C9" s="13" t="s">
        <v>14</v>
      </c>
      <c r="D9" s="84">
        <v>485000</v>
      </c>
      <c r="E9" s="9"/>
      <c r="F9" s="14"/>
      <c r="G9" s="14"/>
    </row>
    <row r="10" spans="2:7" ht="15.75" customHeight="1" x14ac:dyDescent="0.2">
      <c r="B10" s="8"/>
      <c r="C10" s="13" t="s">
        <v>6</v>
      </c>
      <c r="D10" s="91">
        <v>0.35</v>
      </c>
      <c r="E10" s="9"/>
      <c r="F10" s="45"/>
      <c r="G10" s="45"/>
    </row>
    <row r="11" spans="2:7" ht="15.75" customHeight="1" x14ac:dyDescent="0.2">
      <c r="B11" s="8"/>
      <c r="C11" s="13" t="s">
        <v>34</v>
      </c>
      <c r="D11" s="85"/>
      <c r="E11" s="40"/>
      <c r="F11" s="46"/>
      <c r="G11" s="46"/>
    </row>
    <row r="12" spans="2:7" ht="15.75" customHeight="1" x14ac:dyDescent="0.2">
      <c r="B12" s="8"/>
      <c r="C12" s="13" t="s">
        <v>19</v>
      </c>
      <c r="D12" s="92">
        <v>3</v>
      </c>
      <c r="E12" s="40"/>
      <c r="F12" s="46"/>
      <c r="G12" s="46"/>
    </row>
    <row r="13" spans="2:7" ht="15.75" customHeight="1" x14ac:dyDescent="0.2">
      <c r="B13" s="8"/>
      <c r="C13" s="13" t="s">
        <v>20</v>
      </c>
      <c r="D13" s="83">
        <v>0.12</v>
      </c>
      <c r="E13" s="40"/>
      <c r="F13" s="46"/>
      <c r="G13" s="46"/>
    </row>
    <row r="14" spans="2:7" ht="15.75" customHeight="1" thickBot="1" x14ac:dyDescent="0.25">
      <c r="B14" s="10"/>
      <c r="C14" s="11"/>
      <c r="D14" s="11"/>
      <c r="E14" s="12"/>
      <c r="F14" s="47"/>
      <c r="G14" s="14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11</v>
      </c>
      <c r="D19" s="86">
        <f>(D8-D9)*(1-D10)+D10*(D7/D12)</f>
        <v>683250</v>
      </c>
      <c r="E19" s="21"/>
      <c r="F19" s="31"/>
      <c r="G19" s="31"/>
      <c r="H19" s="30"/>
    </row>
    <row r="20" spans="2:8" ht="15.75" customHeight="1" x14ac:dyDescent="0.25">
      <c r="B20" s="18"/>
      <c r="C20" s="19"/>
      <c r="D20" s="87"/>
      <c r="E20" s="21"/>
      <c r="F20" s="31"/>
      <c r="G20" s="31"/>
      <c r="H20" s="30"/>
    </row>
    <row r="21" spans="2:8" ht="15.75" customHeight="1" x14ac:dyDescent="0.25">
      <c r="B21" s="18"/>
      <c r="C21" s="19" t="s">
        <v>21</v>
      </c>
      <c r="D21" s="130">
        <f>-D7+PV(D13,D12,-D19)</f>
        <v>-8948.7859876079019</v>
      </c>
      <c r="E21" s="21"/>
      <c r="F21" s="31"/>
      <c r="G21" s="31"/>
      <c r="H21" s="30"/>
    </row>
    <row r="22" spans="2:8" ht="15.75" customHeight="1" thickBot="1" x14ac:dyDescent="0.25">
      <c r="B22" s="23"/>
      <c r="C22" s="39"/>
      <c r="D22" s="50"/>
      <c r="E22" s="51"/>
      <c r="F22" s="35"/>
      <c r="G22" s="35"/>
      <c r="H22" s="31"/>
    </row>
    <row r="23" spans="2:8" ht="15.75" customHeight="1" x14ac:dyDescent="0.2">
      <c r="B23" s="30"/>
      <c r="C23" s="35"/>
      <c r="D23" s="48"/>
      <c r="E23" s="30"/>
      <c r="F23" s="35"/>
      <c r="G23" s="35"/>
      <c r="H23" s="30"/>
    </row>
    <row r="24" spans="2:8" ht="15.75" customHeight="1" x14ac:dyDescent="0.2">
      <c r="B24" s="30"/>
      <c r="C24" s="35"/>
      <c r="D24" s="49"/>
      <c r="E24" s="30"/>
      <c r="F24" s="35"/>
      <c r="G24" s="35"/>
      <c r="H24" s="30"/>
    </row>
    <row r="25" spans="2:8" ht="15.75" customHeight="1" x14ac:dyDescent="0.2">
      <c r="B25" s="30"/>
      <c r="C25" s="36"/>
      <c r="D25" s="37"/>
      <c r="E25" s="38"/>
      <c r="F25" s="35"/>
      <c r="G25" s="35"/>
      <c r="H25" s="30"/>
    </row>
    <row r="26" spans="2:8" ht="15.75" customHeight="1" x14ac:dyDescent="0.2">
      <c r="B26" s="30"/>
      <c r="C26" s="36"/>
      <c r="D26" s="37"/>
      <c r="E26" s="38"/>
      <c r="F26" s="35"/>
      <c r="G26" s="35"/>
      <c r="H26" s="30"/>
    </row>
    <row r="27" spans="2:8" ht="15.75" customHeight="1" x14ac:dyDescent="0.2">
      <c r="B27" s="30"/>
      <c r="C27" s="36"/>
      <c r="D27" s="37"/>
      <c r="E27" s="38"/>
      <c r="F27" s="35"/>
      <c r="G27" s="35"/>
      <c r="H27" s="30"/>
    </row>
    <row r="28" spans="2:8" ht="15.75" customHeight="1" x14ac:dyDescent="0.2">
      <c r="B28" s="30"/>
      <c r="C28" s="36"/>
      <c r="D28" s="37"/>
      <c r="E28" s="38"/>
      <c r="F28" s="35"/>
      <c r="G28" s="35"/>
      <c r="H28" s="30"/>
    </row>
    <row r="29" spans="2:8" ht="15.75" customHeight="1" x14ac:dyDescent="0.2">
      <c r="B29" s="30"/>
      <c r="C29" s="30"/>
      <c r="D29" s="30"/>
      <c r="E29" s="30"/>
      <c r="F29" s="30"/>
      <c r="G29" s="30"/>
      <c r="H29" s="30"/>
    </row>
    <row r="30" spans="2:8" ht="15.75" customHeight="1" x14ac:dyDescent="0.2">
      <c r="B30" s="14"/>
      <c r="C30" s="14"/>
      <c r="D30" s="14"/>
      <c r="E30" s="14"/>
      <c r="F30" s="14"/>
      <c r="G30" s="14"/>
      <c r="H30" s="14"/>
    </row>
    <row r="31" spans="2:8" ht="15.75" customHeight="1" x14ac:dyDescent="0.2"/>
    <row r="32" spans="2:8" ht="15.75" customHeight="1" x14ac:dyDescent="0.2">
      <c r="D32" s="26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28515625" bestFit="1" customWidth="1"/>
    <col min="4" max="4" width="18.140625" customWidth="1"/>
    <col min="5" max="5" width="3.140625" customWidth="1"/>
    <col min="6" max="6" width="17.85546875" bestFit="1" customWidth="1"/>
    <col min="7" max="7" width="19.85546875" bestFit="1" customWidth="1"/>
    <col min="8" max="8" width="3.140625" customWidth="1"/>
  </cols>
  <sheetData>
    <row r="1" spans="2:7" ht="17.25" customHeight="1" x14ac:dyDescent="0.25">
      <c r="C1" s="1" t="s">
        <v>434</v>
      </c>
    </row>
    <row r="2" spans="2:7" ht="15.75" customHeight="1" x14ac:dyDescent="0.2">
      <c r="C2" s="3" t="s">
        <v>9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>
      <c r="G5" s="44"/>
    </row>
    <row r="6" spans="2:7" ht="15.75" customHeight="1" x14ac:dyDescent="0.2">
      <c r="B6" s="5"/>
      <c r="C6" s="6"/>
      <c r="D6" s="6"/>
      <c r="E6" s="7"/>
      <c r="F6" s="14"/>
      <c r="G6" s="14"/>
    </row>
    <row r="7" spans="2:7" ht="15.75" customHeight="1" x14ac:dyDescent="0.2">
      <c r="B7" s="8"/>
      <c r="C7" s="13" t="s">
        <v>17</v>
      </c>
      <c r="D7" s="127">
        <f>'#3'!D7</f>
        <v>1650000</v>
      </c>
      <c r="E7" s="9"/>
      <c r="F7" s="14"/>
      <c r="G7" s="14"/>
    </row>
    <row r="8" spans="2:7" ht="15.75" customHeight="1" x14ac:dyDescent="0.2">
      <c r="B8" s="8"/>
      <c r="C8" s="13" t="s">
        <v>18</v>
      </c>
      <c r="D8" s="127">
        <f>'#3'!D8</f>
        <v>1240000</v>
      </c>
      <c r="E8" s="9"/>
      <c r="F8" s="14"/>
      <c r="G8" s="14"/>
    </row>
    <row r="9" spans="2:7" ht="15.75" customHeight="1" x14ac:dyDescent="0.2">
      <c r="B9" s="8"/>
      <c r="C9" s="13" t="s">
        <v>14</v>
      </c>
      <c r="D9" s="127">
        <f>'#3'!D9</f>
        <v>485000</v>
      </c>
      <c r="E9" s="9"/>
      <c r="F9" s="14"/>
      <c r="G9" s="14"/>
    </row>
    <row r="10" spans="2:7" ht="15.75" customHeight="1" x14ac:dyDescent="0.2">
      <c r="B10" s="8"/>
      <c r="C10" s="13" t="s">
        <v>6</v>
      </c>
      <c r="D10" s="128">
        <f>'#3'!D10</f>
        <v>0.35</v>
      </c>
      <c r="E10" s="9"/>
      <c r="F10" s="45"/>
    </row>
    <row r="11" spans="2:7" ht="15.75" customHeight="1" x14ac:dyDescent="0.2">
      <c r="B11" s="8"/>
      <c r="C11" s="13" t="s">
        <v>20</v>
      </c>
      <c r="D11" s="131">
        <f>'#3'!D13</f>
        <v>0.12</v>
      </c>
      <c r="E11" s="40"/>
      <c r="F11" s="46"/>
    </row>
    <row r="12" spans="2:7" ht="15.75" customHeight="1" x14ac:dyDescent="0.2">
      <c r="B12" s="8"/>
      <c r="C12" s="13" t="s">
        <v>34</v>
      </c>
      <c r="D12" s="132"/>
      <c r="E12" s="40"/>
      <c r="F12" s="46"/>
    </row>
    <row r="13" spans="2:7" ht="15.75" customHeight="1" x14ac:dyDescent="0.2">
      <c r="B13" s="8"/>
      <c r="C13" s="13" t="s">
        <v>19</v>
      </c>
      <c r="D13" s="129">
        <f>'#3'!D12</f>
        <v>3</v>
      </c>
      <c r="E13" s="40"/>
      <c r="F13" s="46"/>
    </row>
    <row r="14" spans="2:7" ht="15.75" customHeight="1" x14ac:dyDescent="0.2">
      <c r="B14" s="8"/>
      <c r="C14" s="13" t="s">
        <v>11</v>
      </c>
      <c r="D14" s="127">
        <f>'#3'!D19</f>
        <v>683250</v>
      </c>
      <c r="E14" s="40"/>
      <c r="F14" s="46"/>
    </row>
    <row r="15" spans="2:7" ht="15.75" customHeight="1" x14ac:dyDescent="0.2">
      <c r="B15" s="8"/>
      <c r="C15" s="13" t="s">
        <v>22</v>
      </c>
      <c r="D15" s="84">
        <v>285000</v>
      </c>
      <c r="E15" s="40"/>
      <c r="F15" s="46"/>
    </row>
    <row r="16" spans="2:7" ht="15.75" customHeight="1" x14ac:dyDescent="0.2">
      <c r="B16" s="8"/>
      <c r="C16" s="13" t="s">
        <v>23</v>
      </c>
      <c r="D16" s="84">
        <v>225000</v>
      </c>
      <c r="E16" s="40"/>
      <c r="F16" s="46"/>
    </row>
    <row r="17" spans="2:8" ht="15.75" customHeight="1" thickBot="1" x14ac:dyDescent="0.25">
      <c r="B17" s="10"/>
      <c r="C17" s="11"/>
      <c r="D17" s="11"/>
      <c r="E17" s="12"/>
      <c r="F17" s="47"/>
      <c r="G17" s="14"/>
    </row>
    <row r="18" spans="2:8" ht="15.75" customHeight="1" x14ac:dyDescent="0.2"/>
    <row r="19" spans="2:8" ht="15.75" customHeight="1" x14ac:dyDescent="0.2">
      <c r="C19" s="2" t="s">
        <v>2</v>
      </c>
    </row>
    <row r="20" spans="2:8" ht="15.75" customHeight="1" thickBot="1" x14ac:dyDescent="0.25"/>
    <row r="21" spans="2:8" ht="15.75" customHeight="1" x14ac:dyDescent="0.2">
      <c r="B21" s="15"/>
      <c r="C21" s="16"/>
      <c r="D21" s="16"/>
      <c r="E21" s="17"/>
      <c r="F21" s="30"/>
      <c r="G21" s="30"/>
      <c r="H21" s="30"/>
    </row>
    <row r="22" spans="2:8" ht="15.75" customHeight="1" x14ac:dyDescent="0.2">
      <c r="B22" s="18"/>
      <c r="C22" s="156" t="s">
        <v>24</v>
      </c>
      <c r="D22" s="89" t="s">
        <v>25</v>
      </c>
      <c r="E22" s="21"/>
      <c r="F22" s="31"/>
      <c r="G22" s="31"/>
      <c r="H22" s="30"/>
    </row>
    <row r="23" spans="2:8" ht="15.75" customHeight="1" x14ac:dyDescent="0.25">
      <c r="B23" s="18"/>
      <c r="C23" s="76">
        <v>0</v>
      </c>
      <c r="D23" s="171">
        <f>(-D7-D15)</f>
        <v>-1935000</v>
      </c>
      <c r="E23" s="21"/>
      <c r="F23" s="31"/>
      <c r="G23" s="31"/>
      <c r="H23" s="30"/>
    </row>
    <row r="24" spans="2:8" ht="15.75" customHeight="1" x14ac:dyDescent="0.25">
      <c r="B24" s="18"/>
      <c r="C24" s="234">
        <v>1</v>
      </c>
      <c r="D24" s="171">
        <f>D14</f>
        <v>683250</v>
      </c>
      <c r="E24" s="21"/>
      <c r="F24" s="31"/>
      <c r="G24" s="31"/>
      <c r="H24" s="30"/>
    </row>
    <row r="25" spans="2:8" ht="15.75" customHeight="1" x14ac:dyDescent="0.25">
      <c r="B25" s="18"/>
      <c r="C25" s="234">
        <v>2</v>
      </c>
      <c r="D25" s="171">
        <f>D14</f>
        <v>683250</v>
      </c>
      <c r="E25" s="21"/>
      <c r="F25" s="31"/>
      <c r="G25" s="31"/>
      <c r="H25" s="30"/>
    </row>
    <row r="26" spans="2:8" ht="15.75" customHeight="1" x14ac:dyDescent="0.25">
      <c r="B26" s="18"/>
      <c r="C26" s="234">
        <v>3</v>
      </c>
      <c r="D26" s="171">
        <f>D14+D15+(D16*(1-D10))</f>
        <v>1114500</v>
      </c>
      <c r="E26" s="21"/>
      <c r="F26" s="31"/>
      <c r="G26" s="31"/>
      <c r="H26" s="30"/>
    </row>
    <row r="27" spans="2:8" ht="15.75" customHeight="1" x14ac:dyDescent="0.2">
      <c r="B27" s="18"/>
      <c r="C27" s="52"/>
      <c r="D27" s="33"/>
      <c r="E27" s="21"/>
      <c r="F27" s="31"/>
      <c r="G27" s="31"/>
      <c r="H27" s="30"/>
    </row>
    <row r="28" spans="2:8" ht="15.75" customHeight="1" x14ac:dyDescent="0.25">
      <c r="B28" s="18"/>
      <c r="C28" s="52" t="s">
        <v>21</v>
      </c>
      <c r="D28" s="130">
        <f>NPV(D11,D24:D26)+D23</f>
        <v>13006.445881923661</v>
      </c>
      <c r="E28" s="21"/>
      <c r="F28" s="31"/>
      <c r="G28" s="31"/>
      <c r="H28" s="30"/>
    </row>
    <row r="29" spans="2:8" ht="15.75" customHeight="1" thickBot="1" x14ac:dyDescent="0.25">
      <c r="B29" s="23"/>
      <c r="C29" s="39"/>
      <c r="D29" s="50"/>
      <c r="E29" s="51"/>
      <c r="F29" s="35"/>
      <c r="G29" s="35"/>
      <c r="H29" s="31"/>
    </row>
    <row r="30" spans="2:8" ht="15.75" customHeight="1" x14ac:dyDescent="0.2">
      <c r="B30" s="30"/>
      <c r="C30" s="35"/>
      <c r="D30" s="48"/>
      <c r="E30" s="30"/>
      <c r="F30" s="35"/>
      <c r="G30" s="35"/>
      <c r="H30" s="30"/>
    </row>
    <row r="31" spans="2:8" ht="15.75" customHeight="1" x14ac:dyDescent="0.2">
      <c r="B31" s="30"/>
      <c r="C31" s="35"/>
      <c r="D31" s="49"/>
      <c r="E31" s="30"/>
      <c r="F31" s="35"/>
      <c r="G31" s="35"/>
      <c r="H31" s="30"/>
    </row>
    <row r="32" spans="2:8" ht="15.75" customHeight="1" x14ac:dyDescent="0.2">
      <c r="B32" s="30"/>
      <c r="C32" s="36"/>
      <c r="D32" s="37"/>
      <c r="E32" s="38"/>
      <c r="F32" s="35"/>
      <c r="G32" s="35"/>
      <c r="H32" s="30"/>
    </row>
    <row r="33" spans="2:8" ht="15.75" customHeight="1" x14ac:dyDescent="0.2">
      <c r="B33" s="30"/>
      <c r="C33" s="36"/>
      <c r="D33" s="37"/>
      <c r="E33" s="38"/>
      <c r="F33" s="35"/>
      <c r="G33" s="35"/>
      <c r="H33" s="30"/>
    </row>
    <row r="34" spans="2:8" ht="15.75" customHeight="1" x14ac:dyDescent="0.2">
      <c r="B34" s="30"/>
      <c r="C34" s="36"/>
      <c r="D34" s="37"/>
      <c r="E34" s="38"/>
      <c r="F34" s="35"/>
      <c r="G34" s="35"/>
      <c r="H34" s="30"/>
    </row>
    <row r="35" spans="2:8" ht="15.75" customHeight="1" x14ac:dyDescent="0.2">
      <c r="B35" s="30"/>
      <c r="C35" s="36"/>
      <c r="D35" s="37"/>
      <c r="E35" s="38"/>
      <c r="F35" s="35"/>
      <c r="G35" s="35"/>
      <c r="H35" s="30"/>
    </row>
    <row r="36" spans="2:8" ht="15.75" customHeight="1" x14ac:dyDescent="0.2">
      <c r="B36" s="30"/>
      <c r="C36" s="30"/>
      <c r="D36" s="30"/>
      <c r="E36" s="30"/>
      <c r="F36" s="30"/>
      <c r="G36" s="30"/>
      <c r="H36" s="30"/>
    </row>
    <row r="37" spans="2:8" ht="15.75" customHeight="1" x14ac:dyDescent="0.2">
      <c r="B37" s="14"/>
      <c r="C37" s="14"/>
      <c r="D37" s="14"/>
      <c r="E37" s="14"/>
      <c r="F37" s="14"/>
      <c r="G37" s="14"/>
      <c r="H37" s="14"/>
    </row>
    <row r="38" spans="2:8" ht="15.75" customHeight="1" x14ac:dyDescent="0.2"/>
    <row r="39" spans="2:8" ht="15.75" customHeight="1" x14ac:dyDescent="0.2">
      <c r="D39" s="26"/>
    </row>
    <row r="40" spans="2:8" ht="15.75" customHeight="1" x14ac:dyDescent="0.2"/>
    <row r="41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6" width="18.28515625" bestFit="1" customWidth="1"/>
    <col min="7" max="7" width="3.140625" customWidth="1"/>
    <col min="8" max="8" width="17.85546875" customWidth="1"/>
  </cols>
  <sheetData>
    <row r="1" spans="2:8" ht="17.25" customHeight="1" x14ac:dyDescent="0.25">
      <c r="C1" s="1" t="s">
        <v>434</v>
      </c>
    </row>
    <row r="2" spans="2:8" ht="15.75" customHeight="1" x14ac:dyDescent="0.2">
      <c r="C2" s="3" t="s">
        <v>13</v>
      </c>
    </row>
    <row r="3" spans="2:8" ht="15.75" customHeight="1" x14ac:dyDescent="0.2"/>
    <row r="4" spans="2:8" ht="15.75" customHeight="1" x14ac:dyDescent="0.2">
      <c r="C4" s="2" t="s">
        <v>1</v>
      </c>
    </row>
    <row r="5" spans="2:8" ht="15.75" customHeight="1" thickBot="1" x14ac:dyDescent="0.25">
      <c r="G5" s="44"/>
    </row>
    <row r="6" spans="2:8" ht="15.75" customHeight="1" x14ac:dyDescent="0.2">
      <c r="B6" s="5"/>
      <c r="C6" s="6"/>
      <c r="D6" s="6"/>
      <c r="E6" s="7"/>
      <c r="F6" s="14"/>
      <c r="G6" s="14"/>
    </row>
    <row r="7" spans="2:8" ht="15.75" customHeight="1" x14ac:dyDescent="0.2">
      <c r="B7" s="8"/>
      <c r="C7" s="13" t="s">
        <v>17</v>
      </c>
      <c r="D7" s="127">
        <f>'#4'!D7</f>
        <v>1650000</v>
      </c>
      <c r="E7" s="9"/>
      <c r="F7" s="14"/>
      <c r="G7" s="14"/>
    </row>
    <row r="8" spans="2:8" ht="15.75" customHeight="1" x14ac:dyDescent="0.2">
      <c r="B8" s="8"/>
      <c r="C8" s="13" t="s">
        <v>18</v>
      </c>
      <c r="D8" s="127">
        <f>'#4'!D8</f>
        <v>1240000</v>
      </c>
      <c r="E8" s="9"/>
      <c r="F8" s="14"/>
      <c r="G8" s="14"/>
      <c r="H8" s="398"/>
    </row>
    <row r="9" spans="2:8" ht="15.75" customHeight="1" x14ac:dyDescent="0.2">
      <c r="B9" s="8"/>
      <c r="C9" s="13" t="s">
        <v>14</v>
      </c>
      <c r="D9" s="127">
        <f>'#4'!D9</f>
        <v>485000</v>
      </c>
      <c r="E9" s="9"/>
      <c r="F9" s="14"/>
      <c r="G9" s="14"/>
    </row>
    <row r="10" spans="2:8" ht="15.75" customHeight="1" x14ac:dyDescent="0.2">
      <c r="B10" s="8"/>
      <c r="C10" s="13" t="s">
        <v>6</v>
      </c>
      <c r="D10" s="128">
        <f>'#4'!D10</f>
        <v>0.35</v>
      </c>
      <c r="E10" s="9"/>
      <c r="F10" s="45"/>
    </row>
    <row r="11" spans="2:8" ht="15.75" customHeight="1" x14ac:dyDescent="0.2">
      <c r="B11" s="8"/>
      <c r="C11" s="13" t="s">
        <v>20</v>
      </c>
      <c r="D11" s="131">
        <f>'#4'!D11</f>
        <v>0.12</v>
      </c>
      <c r="E11" s="40"/>
      <c r="F11" s="46"/>
    </row>
    <row r="12" spans="2:8" ht="15.75" customHeight="1" x14ac:dyDescent="0.2">
      <c r="B12" s="8"/>
      <c r="C12" s="13" t="s">
        <v>22</v>
      </c>
      <c r="D12" s="127">
        <f>'#4'!D15</f>
        <v>285000</v>
      </c>
      <c r="E12" s="40"/>
      <c r="F12" s="46"/>
    </row>
    <row r="13" spans="2:8" ht="15.75" customHeight="1" x14ac:dyDescent="0.2">
      <c r="B13" s="8"/>
      <c r="C13" s="13" t="s">
        <v>23</v>
      </c>
      <c r="D13" s="127">
        <f>'#4'!D16</f>
        <v>225000</v>
      </c>
      <c r="E13" s="40"/>
      <c r="F13" s="46"/>
      <c r="H13" s="398"/>
    </row>
    <row r="14" spans="2:8" ht="15.75" customHeight="1" x14ac:dyDescent="0.2">
      <c r="B14" s="8"/>
      <c r="C14" s="13" t="s">
        <v>82</v>
      </c>
      <c r="D14" s="93">
        <v>0.33329999999999999</v>
      </c>
      <c r="E14" s="41"/>
      <c r="F14" s="46"/>
      <c r="G14" s="46"/>
    </row>
    <row r="15" spans="2:8" ht="15.75" customHeight="1" x14ac:dyDescent="0.2">
      <c r="B15" s="8"/>
      <c r="C15" s="13"/>
      <c r="D15" s="93">
        <v>0.44450000000000001</v>
      </c>
      <c r="E15" s="41"/>
      <c r="F15" s="46"/>
      <c r="G15" s="46"/>
    </row>
    <row r="16" spans="2:8" ht="15.75" customHeight="1" x14ac:dyDescent="0.2">
      <c r="B16" s="8"/>
      <c r="C16" s="13"/>
      <c r="D16" s="93">
        <v>0.14810000000000001</v>
      </c>
      <c r="E16" s="41"/>
      <c r="F16" s="46"/>
      <c r="G16" s="46"/>
    </row>
    <row r="17" spans="2:8" ht="15.75" customHeight="1" thickBot="1" x14ac:dyDescent="0.25">
      <c r="B17" s="10"/>
      <c r="C17" s="11"/>
      <c r="D17" s="11"/>
      <c r="E17" s="12"/>
      <c r="F17" s="47"/>
      <c r="G17" s="14"/>
    </row>
    <row r="18" spans="2:8" ht="15.75" customHeight="1" x14ac:dyDescent="0.2"/>
    <row r="19" spans="2:8" ht="15.75" customHeight="1" x14ac:dyDescent="0.2">
      <c r="C19" s="2" t="s">
        <v>2</v>
      </c>
    </row>
    <row r="20" spans="2:8" ht="15.75" customHeight="1" thickBot="1" x14ac:dyDescent="0.25">
      <c r="F20" s="44"/>
    </row>
    <row r="21" spans="2:8" ht="15.75" customHeight="1" x14ac:dyDescent="0.2">
      <c r="B21" s="15"/>
      <c r="C21" s="16"/>
      <c r="D21" s="16"/>
      <c r="E21" s="16"/>
      <c r="F21" s="16"/>
      <c r="G21" s="17"/>
      <c r="H21" s="30"/>
    </row>
    <row r="22" spans="2:8" ht="15.75" customHeight="1" x14ac:dyDescent="0.2">
      <c r="B22" s="18"/>
      <c r="C22" s="156" t="s">
        <v>24</v>
      </c>
      <c r="D22" s="32" t="s">
        <v>5</v>
      </c>
      <c r="E22" s="20"/>
      <c r="F22" s="19" t="s">
        <v>25</v>
      </c>
      <c r="G22" s="22"/>
      <c r="H22" s="30"/>
    </row>
    <row r="23" spans="2:8" ht="15.75" customHeight="1" x14ac:dyDescent="0.25">
      <c r="B23" s="18"/>
      <c r="C23" s="76">
        <v>0</v>
      </c>
      <c r="D23" s="86"/>
      <c r="E23" s="94"/>
      <c r="F23" s="130">
        <f>(-D7-D12)</f>
        <v>-1935000</v>
      </c>
      <c r="G23" s="22"/>
      <c r="H23" s="30"/>
    </row>
    <row r="24" spans="2:8" ht="15.75" customHeight="1" x14ac:dyDescent="0.25">
      <c r="B24" s="18"/>
      <c r="C24" s="234">
        <v>1</v>
      </c>
      <c r="D24" s="86">
        <f>D7*D14</f>
        <v>549945</v>
      </c>
      <c r="E24" s="94"/>
      <c r="F24" s="130">
        <f>(D8-D9)*(1-D10)+D10*(D24)</f>
        <v>683230.75</v>
      </c>
      <c r="G24" s="22"/>
      <c r="H24" s="30"/>
    </row>
    <row r="25" spans="2:8" ht="15.75" customHeight="1" x14ac:dyDescent="0.25">
      <c r="B25" s="18"/>
      <c r="C25" s="234">
        <v>2</v>
      </c>
      <c r="D25" s="86">
        <f>D7*D15</f>
        <v>733425</v>
      </c>
      <c r="E25" s="94"/>
      <c r="F25" s="130">
        <f>(D8-D9)*(1-D10)+D10*D25</f>
        <v>747448.75</v>
      </c>
      <c r="G25" s="22"/>
      <c r="H25" s="30"/>
    </row>
    <row r="26" spans="2:8" ht="15.75" customHeight="1" x14ac:dyDescent="0.25">
      <c r="B26" s="18"/>
      <c r="C26" s="234">
        <v>3</v>
      </c>
      <c r="D26" s="86">
        <f>D7*D16</f>
        <v>244365.00000000003</v>
      </c>
      <c r="E26" s="94"/>
      <c r="F26" s="130">
        <f>(D8-D9)*(1-D10)+D10*D26+(F30+D12)</f>
        <v>1050320.5</v>
      </c>
      <c r="G26" s="22"/>
      <c r="H26" s="30"/>
    </row>
    <row r="27" spans="2:8" ht="15.75" customHeight="1" x14ac:dyDescent="0.2">
      <c r="B27" s="18"/>
      <c r="C27" s="52"/>
      <c r="D27" s="33"/>
      <c r="E27" s="20"/>
      <c r="F27" s="19"/>
      <c r="G27" s="22"/>
      <c r="H27" s="30"/>
    </row>
    <row r="28" spans="2:8" ht="15.75" customHeight="1" x14ac:dyDescent="0.2">
      <c r="B28" s="18"/>
      <c r="C28" s="52" t="s">
        <v>27</v>
      </c>
      <c r="D28" s="56"/>
      <c r="E28" s="20"/>
      <c r="F28" s="79">
        <f>D7-SUM(D24:D26)</f>
        <v>122265</v>
      </c>
      <c r="G28" s="22"/>
      <c r="H28" s="30"/>
    </row>
    <row r="29" spans="2:8" ht="15.75" customHeight="1" x14ac:dyDescent="0.2">
      <c r="B29" s="18"/>
      <c r="C29" s="52"/>
      <c r="D29" s="33"/>
      <c r="E29" s="20"/>
      <c r="F29" s="19"/>
      <c r="G29" s="22"/>
      <c r="H29" s="30"/>
    </row>
    <row r="30" spans="2:8" ht="15.75" customHeight="1" x14ac:dyDescent="0.2">
      <c r="B30" s="18"/>
      <c r="C30" s="52" t="s">
        <v>28</v>
      </c>
      <c r="D30" s="56"/>
      <c r="E30" s="20"/>
      <c r="F30" s="402">
        <f>F28+(D13-F28)*(1-D10)</f>
        <v>189042.75</v>
      </c>
      <c r="G30" s="22"/>
      <c r="H30" s="30"/>
    </row>
    <row r="31" spans="2:8" ht="15.75" customHeight="1" x14ac:dyDescent="0.2">
      <c r="B31" s="18"/>
      <c r="C31" s="52"/>
      <c r="D31" s="33"/>
      <c r="E31" s="20"/>
      <c r="F31" s="19"/>
      <c r="G31" s="22"/>
      <c r="H31" s="30"/>
    </row>
    <row r="32" spans="2:8" ht="15.75" customHeight="1" x14ac:dyDescent="0.25">
      <c r="B32" s="18"/>
      <c r="C32" s="52" t="s">
        <v>21</v>
      </c>
      <c r="D32" s="33"/>
      <c r="E32" s="20"/>
      <c r="F32" s="75">
        <f>F23+(F24/(1+D11))+(F25/(POWER(1+D11,2)))+(F26/POWER(1+D11,3))</f>
        <v>18486.408413811587</v>
      </c>
      <c r="G32" s="22"/>
      <c r="H32" s="30"/>
    </row>
    <row r="33" spans="2:8" ht="15.75" customHeight="1" thickBot="1" x14ac:dyDescent="0.25">
      <c r="B33" s="23"/>
      <c r="C33" s="39"/>
      <c r="D33" s="50"/>
      <c r="E33" s="53"/>
      <c r="F33" s="55"/>
      <c r="G33" s="43"/>
      <c r="H33" s="31"/>
    </row>
    <row r="34" spans="2:8" ht="15.75" customHeight="1" x14ac:dyDescent="0.2">
      <c r="B34" s="30"/>
      <c r="C34" s="35"/>
      <c r="D34" s="48"/>
      <c r="E34" s="30"/>
      <c r="F34" s="35"/>
      <c r="G34" s="35"/>
      <c r="H34" s="30"/>
    </row>
    <row r="35" spans="2:8" ht="15.75" customHeight="1" x14ac:dyDescent="0.2">
      <c r="B35" s="30"/>
      <c r="C35" s="35"/>
      <c r="D35" s="49"/>
      <c r="E35" s="30"/>
      <c r="F35" s="35"/>
      <c r="G35" s="35"/>
      <c r="H35" s="30"/>
    </row>
    <row r="36" spans="2:8" ht="15.75" customHeight="1" x14ac:dyDescent="0.2">
      <c r="B36" s="30"/>
      <c r="C36" s="36"/>
      <c r="D36" s="37"/>
      <c r="E36" s="38"/>
      <c r="F36" s="35"/>
      <c r="G36" s="35"/>
      <c r="H36" s="30"/>
    </row>
    <row r="37" spans="2:8" ht="15.75" customHeight="1" x14ac:dyDescent="0.2">
      <c r="B37" s="30"/>
      <c r="C37" s="36"/>
      <c r="D37" s="37"/>
      <c r="E37" s="38"/>
      <c r="F37" s="35"/>
      <c r="G37" s="35"/>
      <c r="H37" s="30"/>
    </row>
    <row r="38" spans="2:8" ht="15.75" customHeight="1" x14ac:dyDescent="0.2">
      <c r="B38" s="30"/>
      <c r="C38" s="36"/>
      <c r="D38" s="37"/>
      <c r="E38" s="38"/>
      <c r="F38" s="35"/>
      <c r="G38" s="35"/>
      <c r="H38" s="30"/>
    </row>
    <row r="39" spans="2:8" ht="15.75" customHeight="1" x14ac:dyDescent="0.2">
      <c r="B39" s="30"/>
      <c r="C39" s="36"/>
      <c r="D39" s="37"/>
      <c r="E39" s="38"/>
      <c r="F39" s="35"/>
      <c r="G39" s="35"/>
      <c r="H39" s="30"/>
    </row>
    <row r="40" spans="2:8" ht="15.75" customHeight="1" x14ac:dyDescent="0.2">
      <c r="B40" s="30"/>
      <c r="C40" s="30"/>
      <c r="D40" s="30"/>
      <c r="E40" s="30"/>
      <c r="F40" s="30"/>
      <c r="G40" s="30"/>
      <c r="H40" s="30"/>
    </row>
    <row r="41" spans="2:8" x14ac:dyDescent="0.2">
      <c r="B41" s="14"/>
      <c r="C41" s="14"/>
      <c r="D41" s="14"/>
      <c r="E41" s="14"/>
      <c r="F41" s="14"/>
      <c r="G41" s="14"/>
      <c r="H41" s="14"/>
    </row>
    <row r="43" spans="2:8" x14ac:dyDescent="0.2">
      <c r="D43" s="26"/>
    </row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7" ht="18" customHeight="1" x14ac:dyDescent="0.25">
      <c r="C1" s="1" t="s">
        <v>434</v>
      </c>
    </row>
    <row r="2" spans="2:7" ht="15.75" customHeight="1" x14ac:dyDescent="0.2">
      <c r="C2" s="3" t="s">
        <v>16</v>
      </c>
    </row>
    <row r="3" spans="2:7" ht="15.75" customHeight="1" x14ac:dyDescent="0.2"/>
    <row r="4" spans="2:7" ht="15.75" customHeight="1" x14ac:dyDescent="0.2">
      <c r="C4" s="2" t="s">
        <v>1</v>
      </c>
    </row>
    <row r="5" spans="2:7" ht="15.75" customHeight="1" thickBot="1" x14ac:dyDescent="0.25"/>
    <row r="6" spans="2:7" ht="15.75" customHeight="1" x14ac:dyDescent="0.2">
      <c r="B6" s="5"/>
      <c r="C6" s="6"/>
      <c r="D6" s="6"/>
      <c r="E6" s="7"/>
    </row>
    <row r="7" spans="2:7" ht="15.75" customHeight="1" x14ac:dyDescent="0.2">
      <c r="B7" s="8"/>
      <c r="C7" s="13" t="s">
        <v>31</v>
      </c>
      <c r="D7" s="84">
        <v>530000</v>
      </c>
      <c r="E7" s="9"/>
      <c r="G7" s="57"/>
    </row>
    <row r="8" spans="2:7" ht="15.75" customHeight="1" x14ac:dyDescent="0.2">
      <c r="B8" s="8"/>
      <c r="C8" s="13" t="s">
        <v>33</v>
      </c>
      <c r="D8" s="84">
        <v>50000</v>
      </c>
      <c r="E8" s="9"/>
    </row>
    <row r="9" spans="2:7" ht="15.75" customHeight="1" x14ac:dyDescent="0.2">
      <c r="B9" s="8"/>
      <c r="C9" s="13" t="s">
        <v>41</v>
      </c>
      <c r="D9" s="84">
        <v>186000</v>
      </c>
      <c r="E9" s="9"/>
    </row>
    <row r="10" spans="2:7" ht="15.75" customHeight="1" x14ac:dyDescent="0.2">
      <c r="B10" s="8"/>
      <c r="C10" s="13" t="s">
        <v>39</v>
      </c>
      <c r="D10" s="84">
        <v>85000</v>
      </c>
      <c r="E10" s="9"/>
    </row>
    <row r="11" spans="2:7" ht="15.75" customHeight="1" x14ac:dyDescent="0.2">
      <c r="B11" s="8"/>
      <c r="C11" s="13" t="s">
        <v>6</v>
      </c>
      <c r="D11" s="83">
        <v>0.35</v>
      </c>
      <c r="E11" s="9"/>
    </row>
    <row r="12" spans="2:7" ht="15.75" customHeight="1" x14ac:dyDescent="0.2">
      <c r="B12" s="8"/>
      <c r="C12" s="13" t="s">
        <v>34</v>
      </c>
      <c r="D12" s="95"/>
      <c r="E12" s="9"/>
    </row>
    <row r="13" spans="2:7" ht="15.75" customHeight="1" x14ac:dyDescent="0.2">
      <c r="B13" s="8"/>
      <c r="C13" s="13" t="s">
        <v>36</v>
      </c>
      <c r="D13" s="95">
        <v>5</v>
      </c>
      <c r="E13" s="9"/>
    </row>
    <row r="14" spans="2:7" ht="15.75" customHeight="1" thickBot="1" x14ac:dyDescent="0.25">
      <c r="B14" s="10"/>
      <c r="C14" s="11"/>
      <c r="D14" s="11"/>
      <c r="E14" s="12"/>
    </row>
    <row r="15" spans="2:7" ht="15.75" customHeight="1" x14ac:dyDescent="0.2"/>
    <row r="16" spans="2:7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37</v>
      </c>
      <c r="D19" s="96">
        <f>D7/D13</f>
        <v>106000</v>
      </c>
      <c r="E19" s="21"/>
      <c r="F19" s="30"/>
      <c r="G19" s="30"/>
      <c r="H19" s="30"/>
    </row>
    <row r="20" spans="2:8" ht="15.75" customHeight="1" x14ac:dyDescent="0.2">
      <c r="B20" s="18"/>
      <c r="C20" s="19" t="s">
        <v>28</v>
      </c>
      <c r="D20" s="96">
        <f>D8*(1-D11)</f>
        <v>32500</v>
      </c>
      <c r="E20" s="22"/>
      <c r="F20" s="30"/>
      <c r="G20" s="30"/>
      <c r="H20" s="31"/>
    </row>
    <row r="21" spans="2:8" ht="15.75" customHeight="1" x14ac:dyDescent="0.2">
      <c r="B21" s="18"/>
      <c r="C21" s="19" t="s">
        <v>11</v>
      </c>
      <c r="D21" s="96">
        <f>D9*(1-D11)+D11*(D19)</f>
        <v>158000</v>
      </c>
      <c r="E21" s="21"/>
      <c r="F21" s="30"/>
      <c r="G21" s="30"/>
      <c r="H21" s="30"/>
    </row>
    <row r="22" spans="2:8" ht="15.75" customHeight="1" x14ac:dyDescent="0.2">
      <c r="B22" s="18"/>
      <c r="C22" s="19"/>
      <c r="D22" s="96"/>
      <c r="E22" s="21"/>
      <c r="F22" s="30"/>
      <c r="G22" s="30"/>
      <c r="H22" s="30"/>
    </row>
    <row r="23" spans="2:8" ht="15.75" customHeight="1" x14ac:dyDescent="0.2">
      <c r="B23" s="18"/>
      <c r="C23" s="133" t="s">
        <v>24</v>
      </c>
      <c r="D23" s="134" t="s">
        <v>25</v>
      </c>
      <c r="E23" s="21"/>
      <c r="F23" s="30"/>
      <c r="G23" s="30"/>
      <c r="H23" s="30"/>
    </row>
    <row r="24" spans="2:8" ht="15.75" customHeight="1" x14ac:dyDescent="0.2">
      <c r="B24" s="18"/>
      <c r="C24" s="19">
        <v>0</v>
      </c>
      <c r="D24" s="96">
        <f>-D7+D10</f>
        <v>-445000</v>
      </c>
      <c r="E24" s="21"/>
      <c r="F24" s="30"/>
      <c r="G24" s="30"/>
      <c r="H24" s="30"/>
    </row>
    <row r="25" spans="2:8" ht="15.75" customHeight="1" x14ac:dyDescent="0.2">
      <c r="B25" s="18"/>
      <c r="C25" s="19">
        <v>1</v>
      </c>
      <c r="D25" s="96">
        <f>D21</f>
        <v>158000</v>
      </c>
      <c r="E25" s="21"/>
      <c r="F25" s="30"/>
      <c r="G25" s="30"/>
      <c r="H25" s="30"/>
    </row>
    <row r="26" spans="2:8" ht="15.75" customHeight="1" x14ac:dyDescent="0.2">
      <c r="B26" s="18"/>
      <c r="C26" s="19">
        <v>2</v>
      </c>
      <c r="D26" s="96">
        <f>D21</f>
        <v>158000</v>
      </c>
      <c r="E26" s="21"/>
      <c r="F26" s="30"/>
      <c r="G26" s="30"/>
      <c r="H26" s="30"/>
    </row>
    <row r="27" spans="2:8" ht="15.75" customHeight="1" x14ac:dyDescent="0.2">
      <c r="B27" s="18"/>
      <c r="C27" s="19">
        <v>3</v>
      </c>
      <c r="D27" s="96">
        <f>D21</f>
        <v>158000</v>
      </c>
      <c r="E27" s="21"/>
      <c r="F27" s="30"/>
      <c r="G27" s="30"/>
      <c r="H27" s="30"/>
    </row>
    <row r="28" spans="2:8" ht="15.75" customHeight="1" x14ac:dyDescent="0.2">
      <c r="B28" s="18"/>
      <c r="C28" s="19">
        <v>4</v>
      </c>
      <c r="D28" s="96">
        <f>D21</f>
        <v>158000</v>
      </c>
      <c r="E28" s="21"/>
      <c r="F28" s="30"/>
      <c r="G28" s="30"/>
      <c r="H28" s="30"/>
    </row>
    <row r="29" spans="2:8" ht="15.75" customHeight="1" x14ac:dyDescent="0.2">
      <c r="B29" s="18"/>
      <c r="C29" s="19">
        <v>5</v>
      </c>
      <c r="D29" s="96">
        <f>D21+D20-D10</f>
        <v>105500</v>
      </c>
      <c r="E29" s="21"/>
      <c r="F29" s="30"/>
      <c r="G29" s="30"/>
      <c r="H29" s="30"/>
    </row>
    <row r="30" spans="2:8" ht="15.75" customHeight="1" x14ac:dyDescent="0.2">
      <c r="B30" s="18"/>
      <c r="C30" s="19"/>
      <c r="D30" s="96"/>
      <c r="E30" s="21"/>
      <c r="F30" s="30"/>
      <c r="G30" s="30"/>
      <c r="H30" s="30"/>
    </row>
    <row r="31" spans="2:8" ht="15.75" customHeight="1" x14ac:dyDescent="0.25">
      <c r="B31" s="18"/>
      <c r="C31" s="19" t="s">
        <v>73</v>
      </c>
      <c r="D31" s="135">
        <f>IRR(D24:D29)</f>
        <v>0.20682391153585611</v>
      </c>
      <c r="E31" s="21"/>
      <c r="F31" s="30"/>
      <c r="G31" s="30"/>
      <c r="H31" s="30"/>
    </row>
    <row r="32" spans="2:8" ht="15.75" customHeight="1" thickBot="1" x14ac:dyDescent="0.25">
      <c r="B32" s="23"/>
      <c r="C32" s="53"/>
      <c r="D32" s="53"/>
      <c r="E32" s="25"/>
      <c r="F32" s="30"/>
      <c r="G32" s="30"/>
      <c r="H32" s="30"/>
    </row>
    <row r="33" spans="2:8" ht="15.75" customHeight="1" x14ac:dyDescent="0.2">
      <c r="B33" s="14"/>
      <c r="C33" s="14"/>
      <c r="D33" s="14"/>
      <c r="E33" s="14"/>
      <c r="F33" s="14"/>
      <c r="G33" s="14"/>
      <c r="H33" s="14"/>
    </row>
    <row r="34" spans="2:8" ht="15.75" customHeight="1" x14ac:dyDescent="0.2"/>
    <row r="35" spans="2:8" ht="15.75" customHeight="1" x14ac:dyDescent="0.2">
      <c r="D35" s="26"/>
    </row>
    <row r="36" spans="2:8" ht="15.75" customHeight="1" x14ac:dyDescent="0.2"/>
    <row r="37" spans="2:8" ht="15.75" customHeight="1" x14ac:dyDescent="0.2"/>
    <row r="38" spans="2:8" ht="15.75" customHeight="1" x14ac:dyDescent="0.2"/>
    <row r="39" spans="2: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8.42578125" bestFit="1" customWidth="1"/>
    <col min="4" max="4" width="18.140625" customWidth="1"/>
    <col min="5" max="5" width="3.140625" customWidth="1"/>
    <col min="8" max="8" width="3.140625" customWidth="1"/>
  </cols>
  <sheetData>
    <row r="1" spans="2:9" ht="18.75" customHeight="1" x14ac:dyDescent="0.25">
      <c r="C1" s="1" t="s">
        <v>434</v>
      </c>
    </row>
    <row r="2" spans="2:9" ht="15.75" customHeight="1" x14ac:dyDescent="0.2">
      <c r="C2" s="3" t="s">
        <v>196</v>
      </c>
    </row>
    <row r="3" spans="2:9" ht="15.75" customHeight="1" x14ac:dyDescent="0.2"/>
    <row r="4" spans="2:9" ht="15.75" customHeight="1" x14ac:dyDescent="0.2">
      <c r="C4" s="2" t="s">
        <v>1</v>
      </c>
    </row>
    <row r="5" spans="2:9" ht="15.75" customHeight="1" thickBot="1" x14ac:dyDescent="0.25"/>
    <row r="6" spans="2:9" ht="15.75" customHeight="1" x14ac:dyDescent="0.2">
      <c r="B6" s="5"/>
      <c r="C6" s="6"/>
      <c r="D6" s="6"/>
      <c r="E6" s="7"/>
    </row>
    <row r="7" spans="2:9" ht="15.75" customHeight="1" x14ac:dyDescent="0.2">
      <c r="B7" s="8"/>
      <c r="C7" s="13" t="s">
        <v>83</v>
      </c>
      <c r="D7" s="84">
        <v>345000</v>
      </c>
      <c r="E7" s="9"/>
    </row>
    <row r="8" spans="2:9" ht="15.75" customHeight="1" x14ac:dyDescent="0.2">
      <c r="B8" s="8"/>
      <c r="C8" s="13" t="s">
        <v>33</v>
      </c>
      <c r="D8" s="84">
        <v>25000</v>
      </c>
      <c r="E8" s="9"/>
    </row>
    <row r="9" spans="2:9" ht="15.75" customHeight="1" x14ac:dyDescent="0.2">
      <c r="B9" s="8"/>
      <c r="C9" s="13" t="s">
        <v>30</v>
      </c>
      <c r="D9" s="84">
        <v>85000</v>
      </c>
      <c r="E9" s="9"/>
    </row>
    <row r="10" spans="2:9" ht="15.75" customHeight="1" x14ac:dyDescent="0.2">
      <c r="B10" s="8"/>
      <c r="C10" s="13" t="s">
        <v>72</v>
      </c>
      <c r="D10" s="84">
        <v>20000</v>
      </c>
      <c r="E10" s="9"/>
      <c r="G10" s="57"/>
    </row>
    <row r="11" spans="2:9" ht="15.75" customHeight="1" x14ac:dyDescent="0.2">
      <c r="B11" s="8"/>
      <c r="C11" s="13" t="s">
        <v>6</v>
      </c>
      <c r="D11" s="83">
        <v>0.34</v>
      </c>
      <c r="E11" s="9"/>
    </row>
    <row r="12" spans="2:9" ht="15.75" customHeight="1" x14ac:dyDescent="0.2">
      <c r="B12" s="8"/>
      <c r="C12" s="13" t="s">
        <v>32</v>
      </c>
      <c r="D12" s="83">
        <v>0.1</v>
      </c>
      <c r="E12" s="9"/>
      <c r="I12" s="58"/>
    </row>
    <row r="13" spans="2:9" ht="15.75" customHeight="1" x14ac:dyDescent="0.2">
      <c r="B13" s="8"/>
      <c r="C13" s="13" t="s">
        <v>34</v>
      </c>
      <c r="D13" s="95"/>
      <c r="E13" s="9"/>
    </row>
    <row r="14" spans="2:9" ht="15.75" customHeight="1" x14ac:dyDescent="0.2">
      <c r="B14" s="8"/>
      <c r="C14" s="13" t="s">
        <v>36</v>
      </c>
      <c r="D14" s="95">
        <v>5</v>
      </c>
      <c r="E14" s="9"/>
    </row>
    <row r="15" spans="2:9" ht="15.75" customHeight="1" x14ac:dyDescent="0.2">
      <c r="B15" s="8"/>
      <c r="C15" s="13"/>
      <c r="D15" s="29"/>
      <c r="E15" s="9"/>
    </row>
    <row r="16" spans="2:9" ht="15.75" customHeight="1" thickBot="1" x14ac:dyDescent="0.25">
      <c r="B16" s="10"/>
      <c r="C16" s="11"/>
      <c r="D16" s="11"/>
      <c r="E16" s="12"/>
    </row>
    <row r="17" spans="2:8" ht="15.75" customHeight="1" x14ac:dyDescent="0.2"/>
    <row r="18" spans="2:8" ht="15.75" customHeight="1" x14ac:dyDescent="0.2">
      <c r="C18" s="2" t="s">
        <v>2</v>
      </c>
    </row>
    <row r="19" spans="2:8" ht="15.75" customHeight="1" thickBot="1" x14ac:dyDescent="0.25"/>
    <row r="20" spans="2:8" ht="15.75" customHeight="1" x14ac:dyDescent="0.2">
      <c r="B20" s="15"/>
      <c r="C20" s="16"/>
      <c r="D20" s="16"/>
      <c r="E20" s="17"/>
      <c r="F20" s="30"/>
      <c r="G20" s="30"/>
      <c r="H20" s="30"/>
    </row>
    <row r="21" spans="2:8" ht="15.75" customHeight="1" x14ac:dyDescent="0.2">
      <c r="B21" s="18"/>
      <c r="C21" s="19" t="s">
        <v>37</v>
      </c>
      <c r="D21" s="79">
        <f>D7/D14</f>
        <v>69000</v>
      </c>
      <c r="E21" s="21"/>
      <c r="F21" s="30"/>
      <c r="G21" s="30"/>
      <c r="H21" s="30"/>
    </row>
    <row r="22" spans="2:8" ht="15.75" customHeight="1" x14ac:dyDescent="0.2">
      <c r="B22" s="18"/>
      <c r="C22" s="19" t="s">
        <v>28</v>
      </c>
      <c r="D22" s="79">
        <f>D8*(1-D11)</f>
        <v>16499.999999999996</v>
      </c>
      <c r="E22" s="22"/>
      <c r="F22" s="30"/>
      <c r="G22" s="30"/>
      <c r="H22" s="31"/>
    </row>
    <row r="23" spans="2:8" ht="15.75" customHeight="1" x14ac:dyDescent="0.2">
      <c r="B23" s="18"/>
      <c r="C23" s="19" t="s">
        <v>11</v>
      </c>
      <c r="D23" s="79">
        <f>D9*(1-D11)+D11*D21</f>
        <v>79560</v>
      </c>
      <c r="E23" s="21"/>
      <c r="F23" s="30"/>
      <c r="G23" s="30"/>
      <c r="H23" s="30"/>
    </row>
    <row r="24" spans="2:8" ht="15.75" customHeight="1" x14ac:dyDescent="0.2">
      <c r="B24" s="18"/>
      <c r="C24" s="19"/>
      <c r="D24" s="78"/>
      <c r="E24" s="21"/>
      <c r="F24" s="30"/>
      <c r="G24" s="30"/>
      <c r="H24" s="30"/>
    </row>
    <row r="25" spans="2:8" ht="15.75" customHeight="1" x14ac:dyDescent="0.25">
      <c r="B25" s="18"/>
      <c r="C25" s="19" t="s">
        <v>21</v>
      </c>
      <c r="D25" s="171">
        <f>((-D7)-D10)+PV(D12,D14,-D23,0,0)+((D22+D10)/(POWER(1+D12,D14)))</f>
        <v>-40741.376334204528</v>
      </c>
      <c r="E25" s="21"/>
      <c r="F25" s="30"/>
      <c r="G25" s="30"/>
      <c r="H25" s="30"/>
    </row>
    <row r="26" spans="2:8" ht="15.75" customHeight="1" thickBot="1" x14ac:dyDescent="0.25">
      <c r="B26" s="23"/>
      <c r="C26" s="53"/>
      <c r="D26" s="53"/>
      <c r="E26" s="25"/>
      <c r="F26" s="30"/>
      <c r="G26" s="30"/>
      <c r="H26" s="30"/>
    </row>
    <row r="27" spans="2:8" ht="15.75" customHeight="1" x14ac:dyDescent="0.2">
      <c r="B27" s="14"/>
      <c r="C27" s="14"/>
      <c r="D27" s="14"/>
      <c r="E27" s="14"/>
      <c r="F27" s="14"/>
      <c r="G27" s="14"/>
      <c r="H27" s="14"/>
    </row>
    <row r="28" spans="2:8" ht="15.75" customHeight="1" x14ac:dyDescent="0.2"/>
    <row r="29" spans="2:8" ht="15.75" customHeight="1" x14ac:dyDescent="0.2">
      <c r="D29" s="26"/>
    </row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28515625" bestFit="1" customWidth="1"/>
    <col min="4" max="4" width="18.140625" customWidth="1"/>
    <col min="5" max="5" width="3.140625" customWidth="1"/>
    <col min="6" max="6" width="17.85546875" bestFit="1" customWidth="1"/>
    <col min="7" max="7" width="19.85546875" bestFit="1" customWidth="1"/>
    <col min="8" max="8" width="3.140625" customWidth="1"/>
  </cols>
  <sheetData>
    <row r="1" spans="2:5" ht="19.5" customHeight="1" x14ac:dyDescent="0.25">
      <c r="C1" s="1" t="s">
        <v>434</v>
      </c>
    </row>
    <row r="2" spans="2:5" ht="15.75" customHeight="1" x14ac:dyDescent="0.2">
      <c r="C2" s="3" t="s">
        <v>191</v>
      </c>
    </row>
    <row r="3" spans="2:5" ht="15.75" customHeight="1" x14ac:dyDescent="0.2"/>
    <row r="4" spans="2:5" ht="15.75" customHeight="1" x14ac:dyDescent="0.2">
      <c r="C4" s="2" t="s">
        <v>1</v>
      </c>
    </row>
    <row r="5" spans="2:5" ht="15.75" customHeight="1" thickBot="1" x14ac:dyDescent="0.25"/>
    <row r="6" spans="2:5" ht="15.75" customHeight="1" x14ac:dyDescent="0.2">
      <c r="B6" s="5"/>
      <c r="C6" s="6"/>
      <c r="D6" s="6"/>
      <c r="E6" s="7"/>
    </row>
    <row r="7" spans="2:5" ht="15.75" customHeight="1" x14ac:dyDescent="0.2">
      <c r="B7" s="8"/>
      <c r="C7" s="13" t="s">
        <v>192</v>
      </c>
      <c r="D7" s="84">
        <v>8300000</v>
      </c>
      <c r="E7" s="9"/>
    </row>
    <row r="8" spans="2:5" ht="15.75" customHeight="1" x14ac:dyDescent="0.2">
      <c r="B8" s="8"/>
      <c r="C8" s="13" t="s">
        <v>33</v>
      </c>
      <c r="D8" s="84">
        <v>1700000</v>
      </c>
      <c r="E8" s="9"/>
    </row>
    <row r="9" spans="2:5" ht="15.75" customHeight="1" x14ac:dyDescent="0.2">
      <c r="B9" s="8"/>
      <c r="C9" s="13" t="s">
        <v>6</v>
      </c>
      <c r="D9" s="83">
        <v>0.35</v>
      </c>
      <c r="E9" s="9"/>
    </row>
    <row r="10" spans="2:5" ht="15.75" customHeight="1" x14ac:dyDescent="0.2">
      <c r="B10" s="8"/>
      <c r="C10" s="13" t="s">
        <v>193</v>
      </c>
      <c r="D10" s="235">
        <v>0.2</v>
      </c>
      <c r="E10" s="9"/>
    </row>
    <row r="11" spans="2:5" ht="15.75" customHeight="1" x14ac:dyDescent="0.2">
      <c r="B11" s="8"/>
      <c r="C11" s="13"/>
      <c r="D11" s="235">
        <v>0.32</v>
      </c>
      <c r="E11" s="9"/>
    </row>
    <row r="12" spans="2:5" ht="15.75" customHeight="1" x14ac:dyDescent="0.2">
      <c r="B12" s="8"/>
      <c r="C12" s="13"/>
      <c r="D12" s="235">
        <v>0.192</v>
      </c>
      <c r="E12" s="9"/>
    </row>
    <row r="13" spans="2:5" ht="15.75" customHeight="1" x14ac:dyDescent="0.2">
      <c r="B13" s="8"/>
      <c r="C13" s="13"/>
      <c r="D13" s="235">
        <v>0.1152</v>
      </c>
      <c r="E13" s="9"/>
    </row>
    <row r="14" spans="2:5" ht="15.75" customHeight="1" thickBot="1" x14ac:dyDescent="0.25">
      <c r="B14" s="10"/>
      <c r="C14" s="11"/>
      <c r="D14" s="11"/>
      <c r="E14" s="12"/>
    </row>
    <row r="15" spans="2:5" ht="15.75" customHeight="1" x14ac:dyDescent="0.2"/>
    <row r="16" spans="2:5" ht="15.75" customHeight="1" x14ac:dyDescent="0.2">
      <c r="C16" s="2" t="s">
        <v>2</v>
      </c>
    </row>
    <row r="17" spans="2:8" ht="15.75" customHeight="1" thickBot="1" x14ac:dyDescent="0.25"/>
    <row r="18" spans="2:8" ht="15.75" customHeight="1" x14ac:dyDescent="0.2">
      <c r="B18" s="15"/>
      <c r="C18" s="16"/>
      <c r="D18" s="16"/>
      <c r="E18" s="17"/>
      <c r="F18" s="30"/>
      <c r="G18" s="30"/>
      <c r="H18" s="30"/>
    </row>
    <row r="19" spans="2:8" ht="15.75" customHeight="1" x14ac:dyDescent="0.2">
      <c r="B19" s="18"/>
      <c r="C19" s="19" t="s">
        <v>194</v>
      </c>
      <c r="D19" s="79">
        <f>D7-(D10+D11+D12+D13)*D7</f>
        <v>1434240.0000000009</v>
      </c>
      <c r="E19" s="21"/>
      <c r="F19" s="31"/>
      <c r="G19" s="31"/>
      <c r="H19" s="30"/>
    </row>
    <row r="20" spans="2:8" ht="15.75" customHeight="1" x14ac:dyDescent="0.2">
      <c r="B20" s="18"/>
      <c r="C20" s="34"/>
      <c r="D20" s="236"/>
      <c r="E20" s="21"/>
      <c r="F20" s="35"/>
      <c r="G20" s="35"/>
      <c r="H20" s="30"/>
    </row>
    <row r="21" spans="2:8" ht="15.75" customHeight="1" x14ac:dyDescent="0.25">
      <c r="B21" s="18"/>
      <c r="C21" s="34" t="s">
        <v>195</v>
      </c>
      <c r="D21" s="81">
        <f>D8+(-D8+D19)*D9</f>
        <v>1606984.0000000002</v>
      </c>
      <c r="E21" s="21"/>
      <c r="F21" s="35"/>
      <c r="G21" s="35"/>
      <c r="H21" s="30"/>
    </row>
    <row r="22" spans="2:8" ht="15.75" customHeight="1" thickBot="1" x14ac:dyDescent="0.25">
      <c r="B22" s="23"/>
      <c r="C22" s="39"/>
      <c r="D22" s="237"/>
      <c r="E22" s="238"/>
      <c r="F22" s="35"/>
      <c r="G22" s="35"/>
      <c r="H22" s="30"/>
    </row>
    <row r="23" spans="2:8" ht="15.75" customHeight="1" x14ac:dyDescent="0.2">
      <c r="B23" s="30"/>
      <c r="C23" s="36"/>
      <c r="D23" s="37"/>
      <c r="E23" s="38"/>
      <c r="F23" s="35"/>
      <c r="G23" s="35"/>
      <c r="H23" s="30"/>
    </row>
    <row r="24" spans="2:8" ht="15.75" customHeight="1" x14ac:dyDescent="0.2">
      <c r="B24" s="30"/>
      <c r="C24" s="36"/>
      <c r="D24" s="37"/>
      <c r="E24" s="38"/>
      <c r="F24" s="35"/>
      <c r="G24" s="35"/>
      <c r="H24" s="30"/>
    </row>
    <row r="25" spans="2:8" ht="15.75" customHeight="1" x14ac:dyDescent="0.2">
      <c r="B25" s="30"/>
      <c r="C25" s="36"/>
      <c r="D25" s="37"/>
      <c r="E25" s="38"/>
      <c r="F25" s="35"/>
      <c r="G25" s="35"/>
      <c r="H25" s="30"/>
    </row>
    <row r="26" spans="2:8" ht="15.75" customHeight="1" x14ac:dyDescent="0.2">
      <c r="B26" s="30"/>
      <c r="C26" s="30"/>
      <c r="D26" s="30"/>
      <c r="E26" s="30"/>
      <c r="F26" s="30"/>
      <c r="G26" s="30"/>
      <c r="H26" s="30"/>
    </row>
    <row r="27" spans="2:8" ht="15.75" customHeight="1" x14ac:dyDescent="0.2">
      <c r="B27" s="14"/>
      <c r="C27" s="14"/>
      <c r="D27" s="14"/>
      <c r="E27" s="14"/>
      <c r="F27" s="14"/>
      <c r="G27" s="14"/>
      <c r="H27" s="14"/>
    </row>
    <row r="28" spans="2:8" ht="15.75" customHeight="1" x14ac:dyDescent="0.2"/>
    <row r="29" spans="2:8" ht="15.75" customHeight="1" x14ac:dyDescent="0.2">
      <c r="D29" s="26"/>
    </row>
    <row r="30" spans="2:8" ht="15.75" customHeight="1" x14ac:dyDescent="0.2"/>
    <row r="31" spans="2:8" ht="15.75" customHeight="1" x14ac:dyDescent="0.2"/>
    <row r="32" spans="2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Chapter 6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2011-05-26T20:21:41Z</cp:lastPrinted>
  <dcterms:created xsi:type="dcterms:W3CDTF">2002-05-08T06:11:51Z</dcterms:created>
  <dcterms:modified xsi:type="dcterms:W3CDTF">2015-10-09T22:26:24Z</dcterms:modified>
</cp:coreProperties>
</file>