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Finance 6020 (MBA core)\RWJJ 12th Solutions and Cases\"/>
    </mc:Choice>
  </mc:AlternateContent>
  <bookViews>
    <workbookView xWindow="0" yWindow="0" windowWidth="28800" windowHeight="12135"/>
  </bookViews>
  <sheets>
    <sheet name="Chapter 6" sheetId="27" r:id="rId1"/>
    <sheet name="#1" sheetId="39" r:id="rId2"/>
    <sheet name="#2" sheetId="40" r:id="rId3"/>
    <sheet name="#3" sheetId="13" r:id="rId4"/>
    <sheet name="#4" sheetId="15" r:id="rId5"/>
    <sheet name="#5" sheetId="16" r:id="rId6"/>
    <sheet name="#6" sheetId="70" r:id="rId7"/>
    <sheet name="#7" sheetId="41" r:id="rId8"/>
    <sheet name="#8" sheetId="17" r:id="rId9"/>
    <sheet name="#9" sheetId="71" r:id="rId10"/>
    <sheet name="#10" sheetId="42" r:id="rId11"/>
    <sheet name="#11" sheetId="44" r:id="rId12"/>
    <sheet name="#12" sheetId="21" r:id="rId13"/>
    <sheet name="#13" sheetId="23" r:id="rId14"/>
    <sheet name="#14" sheetId="72" r:id="rId15"/>
    <sheet name="#15" sheetId="24" r:id="rId16"/>
    <sheet name="#16" sheetId="25" r:id="rId17"/>
    <sheet name="#17" sheetId="73" r:id="rId18"/>
    <sheet name="#18" sheetId="36" r:id="rId19"/>
    <sheet name="#19" sheetId="45" r:id="rId20"/>
    <sheet name="#20" sheetId="46" r:id="rId21"/>
    <sheet name="#21" sheetId="47" r:id="rId22"/>
    <sheet name="#22" sheetId="48" r:id="rId23"/>
    <sheet name="#23" sheetId="49" r:id="rId24"/>
    <sheet name="#24" sheetId="52" r:id="rId25"/>
    <sheet name="#25" sheetId="67" r:id="rId26"/>
    <sheet name="#26" sheetId="69" r:id="rId27"/>
    <sheet name="#27" sheetId="54" r:id="rId28"/>
    <sheet name="#28" sheetId="68" r:id="rId29"/>
    <sheet name="#29" sheetId="74" r:id="rId30"/>
    <sheet name="#30" sheetId="57" r:id="rId31"/>
    <sheet name="#31" sheetId="59" r:id="rId32"/>
    <sheet name="#32" sheetId="32" r:id="rId33"/>
    <sheet name="#33" sheetId="34" r:id="rId34"/>
    <sheet name="#34" sheetId="60" r:id="rId35"/>
    <sheet name="#35" sheetId="38" r:id="rId36"/>
    <sheet name="#36" sheetId="33" r:id="rId37"/>
    <sheet name="#37" sheetId="35" r:id="rId38"/>
    <sheet name="#38" sheetId="64" r:id="rId39"/>
    <sheet name="#39" sheetId="62" r:id="rId40"/>
    <sheet name="#40" sheetId="63" r:id="rId41"/>
    <sheet name="#41" sheetId="65" r:id="rId42"/>
    <sheet name="#42" sheetId="61" r:id="rId43"/>
  </sheets>
  <calcPr calcId="162913"/>
</workbook>
</file>

<file path=xl/calcChain.xml><?xml version="1.0" encoding="utf-8"?>
<calcChain xmlns="http://schemas.openxmlformats.org/spreadsheetml/2006/main">
  <c r="D20" i="74" l="1"/>
  <c r="H45" i="74" s="1"/>
  <c r="D19" i="74"/>
  <c r="D30" i="74" s="1"/>
  <c r="D18" i="74"/>
  <c r="E37" i="74" s="1"/>
  <c r="D22" i="74"/>
  <c r="D21" i="74"/>
  <c r="D17" i="74"/>
  <c r="D12" i="74"/>
  <c r="D13" i="74"/>
  <c r="D14" i="74"/>
  <c r="D15" i="74"/>
  <c r="D16" i="74"/>
  <c r="H35" i="74" s="1"/>
  <c r="D9" i="74"/>
  <c r="H44" i="74" s="1"/>
  <c r="D11" i="74"/>
  <c r="D8" i="74"/>
  <c r="D44" i="74" s="1"/>
  <c r="D43" i="74"/>
  <c r="E35" i="74"/>
  <c r="F34" i="74" l="1"/>
  <c r="G35" i="74"/>
  <c r="F35" i="74"/>
  <c r="G34" i="74"/>
  <c r="E34" i="74"/>
  <c r="D29" i="74"/>
  <c r="D31" i="74" s="1"/>
  <c r="H43" i="74" s="1"/>
  <c r="D45" i="74"/>
  <c r="D47" i="74"/>
  <c r="H34" i="74"/>
  <c r="H36" i="74" s="1"/>
  <c r="H38" i="74" s="1"/>
  <c r="E36" i="74"/>
  <c r="E38" i="74" s="1"/>
  <c r="F36" i="74"/>
  <c r="F38" i="74" s="1"/>
  <c r="G36" i="74"/>
  <c r="G38" i="74" s="1"/>
  <c r="D34" i="73"/>
  <c r="D31" i="73"/>
  <c r="F24" i="73"/>
  <c r="F28" i="73" s="1"/>
  <c r="D24" i="73"/>
  <c r="D28" i="73" s="1"/>
  <c r="F23" i="73"/>
  <c r="D23" i="73"/>
  <c r="F21" i="73"/>
  <c r="F22" i="73" s="1"/>
  <c r="D21" i="73"/>
  <c r="D22" i="73" s="1"/>
  <c r="F25" i="73" l="1"/>
  <c r="H39" i="74"/>
  <c r="H40" i="74" s="1"/>
  <c r="H41" i="74" s="1"/>
  <c r="H47" i="74" s="1"/>
  <c r="F39" i="74"/>
  <c r="F40" i="74" s="1"/>
  <c r="F41" i="74" s="1"/>
  <c r="F47" i="74" s="1"/>
  <c r="G39" i="74"/>
  <c r="G40" i="74" s="1"/>
  <c r="G41" i="74" s="1"/>
  <c r="G47" i="74" s="1"/>
  <c r="E39" i="74"/>
  <c r="E40" i="74" s="1"/>
  <c r="E41" i="74" s="1"/>
  <c r="E47" i="74" s="1"/>
  <c r="F26" i="73"/>
  <c r="F27" i="73" s="1"/>
  <c r="F29" i="73" s="1"/>
  <c r="D25" i="73"/>
  <c r="D49" i="74" l="1"/>
  <c r="D37" i="73"/>
  <c r="D36" i="73"/>
  <c r="D39" i="73"/>
  <c r="D38" i="73"/>
  <c r="D26" i="73"/>
  <c r="D27" i="73"/>
  <c r="D29" i="73" s="1"/>
  <c r="D35" i="73" s="1"/>
  <c r="D41" i="73" s="1"/>
  <c r="D13" i="72" l="1"/>
  <c r="D12" i="72"/>
  <c r="D8" i="72"/>
  <c r="D25" i="72" s="1"/>
  <c r="D9" i="72"/>
  <c r="D19" i="72" s="1"/>
  <c r="D10" i="72"/>
  <c r="D11" i="72"/>
  <c r="D7" i="72"/>
  <c r="D28" i="72" s="1"/>
  <c r="D24" i="23"/>
  <c r="D25" i="23"/>
  <c r="D26" i="23"/>
  <c r="D29" i="23" s="1"/>
  <c r="D30" i="23" s="1"/>
  <c r="D27" i="23"/>
  <c r="D12" i="71"/>
  <c r="D11" i="71"/>
  <c r="D18" i="71" s="1"/>
  <c r="D26" i="71" s="1"/>
  <c r="D8" i="71"/>
  <c r="D9" i="71"/>
  <c r="D10" i="71"/>
  <c r="D7" i="71"/>
  <c r="D21" i="71" s="1"/>
  <c r="D13" i="70"/>
  <c r="D12" i="70"/>
  <c r="D32" i="72" l="1"/>
  <c r="D22" i="72"/>
  <c r="D29" i="72" s="1"/>
  <c r="D23" i="72"/>
  <c r="D30" i="72" s="1"/>
  <c r="D24" i="72"/>
  <c r="D31" i="72" s="1"/>
  <c r="D24" i="71"/>
  <c r="D34" i="72"/>
  <c r="D23" i="71"/>
  <c r="D28" i="71" s="1"/>
  <c r="D25" i="71"/>
  <c r="D22" i="71"/>
  <c r="D21" i="47"/>
  <c r="D41" i="69" l="1"/>
  <c r="D21" i="69" l="1"/>
  <c r="D58" i="69" s="1"/>
  <c r="E24" i="69"/>
  <c r="F24" i="69" s="1"/>
  <c r="G24" i="69" s="1"/>
  <c r="E25" i="69"/>
  <c r="F25" i="69" s="1"/>
  <c r="G25" i="69" s="1"/>
  <c r="H25" i="69" s="1"/>
  <c r="I25" i="69" s="1"/>
  <c r="J25" i="69" s="1"/>
  <c r="K25" i="69" s="1"/>
  <c r="E26" i="69"/>
  <c r="F26" i="69" s="1"/>
  <c r="D32" i="69"/>
  <c r="D34" i="69" s="1"/>
  <c r="D39" i="69"/>
  <c r="E44" i="69" s="1"/>
  <c r="D40" i="69"/>
  <c r="E45" i="69" s="1"/>
  <c r="D52" i="69"/>
  <c r="D54" i="69" s="1"/>
  <c r="D61" i="69"/>
  <c r="D62" i="69" s="1"/>
  <c r="G44" i="69" l="1"/>
  <c r="K44" i="69"/>
  <c r="F44" i="69"/>
  <c r="J44" i="69"/>
  <c r="H44" i="69"/>
  <c r="E27" i="69"/>
  <c r="F46" i="69"/>
  <c r="G26" i="69"/>
  <c r="G27" i="69" s="1"/>
  <c r="E46" i="69"/>
  <c r="E47" i="69" s="1"/>
  <c r="E28" i="69"/>
  <c r="E29" i="69" s="1"/>
  <c r="E30" i="69" s="1"/>
  <c r="E34" i="69" s="1"/>
  <c r="F45" i="69"/>
  <c r="H24" i="69"/>
  <c r="D64" i="69"/>
  <c r="D59" i="69"/>
  <c r="I44" i="69"/>
  <c r="F27" i="69"/>
  <c r="D35" i="52"/>
  <c r="H63" i="61"/>
  <c r="G63" i="61"/>
  <c r="F63" i="61"/>
  <c r="D39" i="23"/>
  <c r="D14" i="65"/>
  <c r="D11" i="35"/>
  <c r="D12" i="35" s="1"/>
  <c r="D25" i="34"/>
  <c r="D24" i="34"/>
  <c r="D23" i="34"/>
  <c r="D22" i="34"/>
  <c r="D11" i="57"/>
  <c r="H49" i="68"/>
  <c r="D49" i="68"/>
  <c r="H48" i="68"/>
  <c r="D48" i="68"/>
  <c r="D47" i="68"/>
  <c r="H41" i="68"/>
  <c r="G41" i="68"/>
  <c r="F41" i="68"/>
  <c r="E41" i="68"/>
  <c r="H39" i="68"/>
  <c r="G39" i="68"/>
  <c r="F39" i="68"/>
  <c r="E39" i="68"/>
  <c r="H38" i="68"/>
  <c r="G38" i="68"/>
  <c r="F38" i="68"/>
  <c r="E38" i="68"/>
  <c r="D34" i="68"/>
  <c r="D33" i="68"/>
  <c r="D35" i="68" l="1"/>
  <c r="H47" i="68" s="1"/>
  <c r="D66" i="69"/>
  <c r="G46" i="69"/>
  <c r="H26" i="69"/>
  <c r="H27" i="69" s="1"/>
  <c r="F28" i="69"/>
  <c r="F29" i="69" s="1"/>
  <c r="F30" i="69" s="1"/>
  <c r="F34" i="69" s="1"/>
  <c r="E48" i="69"/>
  <c r="E49" i="69" s="1"/>
  <c r="E50" i="69" s="1"/>
  <c r="E54" i="69" s="1"/>
  <c r="G28" i="69"/>
  <c r="G29" i="69" s="1"/>
  <c r="G30" i="69" s="1"/>
  <c r="G34" i="69" s="1"/>
  <c r="G45" i="69"/>
  <c r="F47" i="69"/>
  <c r="I24" i="69"/>
  <c r="D51" i="68"/>
  <c r="E40" i="68"/>
  <c r="E42" i="68" s="1"/>
  <c r="G40" i="68"/>
  <c r="G42" i="68" s="1"/>
  <c r="F40" i="68"/>
  <c r="F42" i="68" s="1"/>
  <c r="H40" i="68"/>
  <c r="H42" i="68" s="1"/>
  <c r="H46" i="69" l="1"/>
  <c r="I26" i="69"/>
  <c r="H45" i="69"/>
  <c r="G47" i="69"/>
  <c r="H28" i="69"/>
  <c r="H29" i="69" s="1"/>
  <c r="H30" i="69" s="1"/>
  <c r="H34" i="69" s="1"/>
  <c r="J24" i="69"/>
  <c r="I27" i="69"/>
  <c r="F48" i="69"/>
  <c r="F49" i="69" s="1"/>
  <c r="F50" i="69" s="1"/>
  <c r="F54" i="69" s="1"/>
  <c r="F43" i="68"/>
  <c r="F44" i="68" s="1"/>
  <c r="F45" i="68" s="1"/>
  <c r="F51" i="68" s="1"/>
  <c r="H43" i="68"/>
  <c r="H44" i="68" s="1"/>
  <c r="H45" i="68" s="1"/>
  <c r="H51" i="68" s="1"/>
  <c r="G43" i="68"/>
  <c r="G44" i="68" s="1"/>
  <c r="G45" i="68" s="1"/>
  <c r="G51" i="68" s="1"/>
  <c r="E43" i="68"/>
  <c r="E44" i="68" s="1"/>
  <c r="E45" i="68" s="1"/>
  <c r="E51" i="68" s="1"/>
  <c r="J26" i="69" l="1"/>
  <c r="I46" i="69"/>
  <c r="I28" i="69"/>
  <c r="I29" i="69" s="1"/>
  <c r="I30" i="69" s="1"/>
  <c r="I34" i="69" s="1"/>
  <c r="K24" i="69"/>
  <c r="J27" i="69"/>
  <c r="G48" i="69"/>
  <c r="G49" i="69" s="1"/>
  <c r="G50" i="69" s="1"/>
  <c r="G54" i="69" s="1"/>
  <c r="I45" i="69"/>
  <c r="H47" i="69"/>
  <c r="D53" i="68"/>
  <c r="K26" i="69" l="1"/>
  <c r="K46" i="69" s="1"/>
  <c r="J46" i="69"/>
  <c r="J45" i="69"/>
  <c r="I47" i="69"/>
  <c r="H48" i="69"/>
  <c r="H49" i="69" s="1"/>
  <c r="H50" i="69" s="1"/>
  <c r="H54" i="69" s="1"/>
  <c r="J28" i="69"/>
  <c r="J29" i="69" s="1"/>
  <c r="J30" i="69" s="1"/>
  <c r="J34" i="69" s="1"/>
  <c r="D19" i="49"/>
  <c r="D24" i="41"/>
  <c r="H11" i="40"/>
  <c r="H23" i="40" s="1"/>
  <c r="G11" i="40"/>
  <c r="G23" i="40" s="1"/>
  <c r="F11" i="40"/>
  <c r="F23" i="40" s="1"/>
  <c r="E11" i="40"/>
  <c r="E23" i="40" s="1"/>
  <c r="D23" i="67"/>
  <c r="H23" i="67"/>
  <c r="D24" i="67"/>
  <c r="H24" i="67"/>
  <c r="F25" i="67"/>
  <c r="H25" i="67"/>
  <c r="H26" i="67"/>
  <c r="F26" i="67" s="1"/>
  <c r="D30" i="67"/>
  <c r="H30" i="67"/>
  <c r="D31" i="67"/>
  <c r="F31" i="67"/>
  <c r="F32" i="67" s="1"/>
  <c r="F33" i="67" s="1"/>
  <c r="F34" i="67" s="1"/>
  <c r="F35" i="67" s="1"/>
  <c r="H31" i="67"/>
  <c r="F35" i="57"/>
  <c r="H35" i="57" s="1"/>
  <c r="F34" i="57"/>
  <c r="H34" i="57" s="1"/>
  <c r="D47" i="57"/>
  <c r="H47" i="57" s="1"/>
  <c r="D46" i="57"/>
  <c r="H46" i="57" s="1"/>
  <c r="F47" i="57"/>
  <c r="H49" i="57" s="1"/>
  <c r="F46" i="57"/>
  <c r="H48" i="57" s="1"/>
  <c r="D38" i="57"/>
  <c r="F38" i="57"/>
  <c r="D39" i="57"/>
  <c r="F39" i="57"/>
  <c r="E43" i="61"/>
  <c r="D47" i="61" s="1"/>
  <c r="H51" i="61"/>
  <c r="D52" i="61"/>
  <c r="E52" i="61" s="1"/>
  <c r="G51" i="61"/>
  <c r="F51" i="61"/>
  <c r="E51" i="61"/>
  <c r="D51" i="61"/>
  <c r="D56" i="61" s="1"/>
  <c r="D49" i="65"/>
  <c r="D50" i="65"/>
  <c r="F50" i="65" s="1"/>
  <c r="G50" i="65" s="1"/>
  <c r="D51" i="65"/>
  <c r="F51" i="65" s="1"/>
  <c r="G51" i="65" s="1"/>
  <c r="D44" i="65"/>
  <c r="D45" i="65" s="1"/>
  <c r="D46" i="65" s="1"/>
  <c r="D33" i="65"/>
  <c r="F33" i="65" s="1"/>
  <c r="G33" i="65" s="1"/>
  <c r="E23" i="59"/>
  <c r="F23" i="59" s="1"/>
  <c r="E28" i="59"/>
  <c r="F28" i="59" s="1"/>
  <c r="G28" i="59" s="1"/>
  <c r="H28" i="59" s="1"/>
  <c r="I28" i="59" s="1"/>
  <c r="E24" i="59"/>
  <c r="F24" i="59" s="1"/>
  <c r="E30" i="59"/>
  <c r="F30" i="59" s="1"/>
  <c r="G30" i="59" s="1"/>
  <c r="H30" i="59" s="1"/>
  <c r="I30" i="59" s="1"/>
  <c r="D46" i="59"/>
  <c r="D51" i="59" s="1"/>
  <c r="D37" i="59"/>
  <c r="D36" i="59"/>
  <c r="I37" i="59"/>
  <c r="E22" i="54"/>
  <c r="F22" i="54" s="1"/>
  <c r="G22" i="54" s="1"/>
  <c r="H22" i="54" s="1"/>
  <c r="I22" i="54" s="1"/>
  <c r="I26" i="54"/>
  <c r="E28" i="54"/>
  <c r="F28" i="54" s="1"/>
  <c r="G28" i="54" s="1"/>
  <c r="H28" i="54" s="1"/>
  <c r="I28" i="54" s="1"/>
  <c r="H26" i="54"/>
  <c r="G26" i="54"/>
  <c r="F26" i="54"/>
  <c r="E26" i="54"/>
  <c r="D44" i="54" s="1"/>
  <c r="D34" i="54"/>
  <c r="D35" i="54"/>
  <c r="I35" i="54"/>
  <c r="D31" i="65"/>
  <c r="F31" i="65" s="1"/>
  <c r="D32" i="65"/>
  <c r="F32" i="65" s="1"/>
  <c r="G32" i="65" s="1"/>
  <c r="D33" i="64"/>
  <c r="E33" i="64" s="1"/>
  <c r="D34" i="64"/>
  <c r="E34" i="64" s="1"/>
  <c r="D35" i="64"/>
  <c r="E35" i="64" s="1"/>
  <c r="D36" i="64"/>
  <c r="E36" i="64"/>
  <c r="D45" i="64"/>
  <c r="E45" i="64" s="1"/>
  <c r="D46" i="64"/>
  <c r="E46" i="64" s="1"/>
  <c r="D47" i="64"/>
  <c r="E47" i="64" s="1"/>
  <c r="D48" i="64"/>
  <c r="E48" i="64"/>
  <c r="D26" i="64"/>
  <c r="D27" i="64" s="1"/>
  <c r="D28" i="64" s="1"/>
  <c r="D30" i="64" s="1"/>
  <c r="H33" i="63"/>
  <c r="E28" i="63"/>
  <c r="F28" i="63" s="1"/>
  <c r="G28" i="63" s="1"/>
  <c r="E29" i="63"/>
  <c r="F29" i="63" s="1"/>
  <c r="H36" i="63"/>
  <c r="G33" i="63"/>
  <c r="G36" i="63"/>
  <c r="F33" i="63"/>
  <c r="F36" i="63"/>
  <c r="E33" i="63"/>
  <c r="E34" i="63"/>
  <c r="E36" i="63"/>
  <c r="D42" i="63"/>
  <c r="D44" i="63" s="1"/>
  <c r="E30" i="63"/>
  <c r="F30" i="63" s="1"/>
  <c r="G30" i="63" s="1"/>
  <c r="H30" i="63" s="1"/>
  <c r="D23" i="62"/>
  <c r="D29" i="62" s="1"/>
  <c r="D35" i="62" s="1"/>
  <c r="D24" i="62"/>
  <c r="D30" i="62" s="1"/>
  <c r="D36" i="62" s="1"/>
  <c r="D25" i="62"/>
  <c r="D31" i="62" s="1"/>
  <c r="D37" i="62" s="1"/>
  <c r="D26" i="62"/>
  <c r="D62" i="61"/>
  <c r="E62" i="61" s="1"/>
  <c r="F62" i="61" s="1"/>
  <c r="G62" i="61" s="1"/>
  <c r="H62" i="61" s="1"/>
  <c r="D67" i="61"/>
  <c r="E67" i="61"/>
  <c r="D40" i="61"/>
  <c r="D41" i="61" s="1"/>
  <c r="E76" i="61" s="1"/>
  <c r="F67" i="61"/>
  <c r="G67" i="61"/>
  <c r="H67" i="61"/>
  <c r="D46" i="61"/>
  <c r="D17" i="38"/>
  <c r="D15" i="38"/>
  <c r="D14" i="38"/>
  <c r="D13" i="38"/>
  <c r="I39" i="38" s="1"/>
  <c r="D12" i="38"/>
  <c r="D10" i="38"/>
  <c r="H52" i="38" s="1"/>
  <c r="D9" i="38"/>
  <c r="D8" i="38"/>
  <c r="D7" i="38"/>
  <c r="I73" i="38" s="1"/>
  <c r="D23" i="60"/>
  <c r="D24" i="60"/>
  <c r="D25" i="60"/>
  <c r="D33" i="57"/>
  <c r="D36" i="57" s="1"/>
  <c r="H33" i="57"/>
  <c r="D26" i="52"/>
  <c r="D27" i="52"/>
  <c r="D34" i="52"/>
  <c r="D21" i="52"/>
  <c r="D22" i="52"/>
  <c r="D20" i="49"/>
  <c r="D22" i="49"/>
  <c r="D23" i="49" s="1"/>
  <c r="D24" i="49" s="1"/>
  <c r="D15" i="48"/>
  <c r="E25" i="47"/>
  <c r="F25" i="47" s="1"/>
  <c r="G25" i="47" s="1"/>
  <c r="E26" i="47"/>
  <c r="F26" i="47" s="1"/>
  <c r="I27" i="47"/>
  <c r="D20" i="47"/>
  <c r="D22" i="47" s="1"/>
  <c r="I33" i="47" s="1"/>
  <c r="I34" i="47"/>
  <c r="H27" i="47"/>
  <c r="G27" i="47"/>
  <c r="F27" i="47"/>
  <c r="E27" i="47"/>
  <c r="D33" i="47"/>
  <c r="D34" i="47"/>
  <c r="D19" i="46"/>
  <c r="D22" i="46" s="1"/>
  <c r="D20" i="46"/>
  <c r="D23" i="46" s="1"/>
  <c r="D25" i="45"/>
  <c r="D21" i="45"/>
  <c r="D23" i="45" s="1"/>
  <c r="D25" i="44"/>
  <c r="D26" i="44" s="1"/>
  <c r="D27" i="44"/>
  <c r="D21" i="44"/>
  <c r="D22" i="44"/>
  <c r="D19" i="42"/>
  <c r="D21" i="42" s="1"/>
  <c r="D19" i="41"/>
  <c r="D21" i="41" s="1"/>
  <c r="D26" i="41" s="1"/>
  <c r="D20" i="41"/>
  <c r="D19" i="13"/>
  <c r="D14" i="15" s="1"/>
  <c r="D13" i="15"/>
  <c r="D11" i="15"/>
  <c r="D10" i="15"/>
  <c r="D9" i="15"/>
  <c r="D8" i="15"/>
  <c r="D7" i="15"/>
  <c r="D29" i="40"/>
  <c r="D30" i="40"/>
  <c r="E21" i="40"/>
  <c r="E22" i="40"/>
  <c r="E30" i="40"/>
  <c r="F21" i="40"/>
  <c r="F22" i="40"/>
  <c r="F30" i="40"/>
  <c r="G21" i="40"/>
  <c r="G22" i="40"/>
  <c r="G30" i="40"/>
  <c r="H21" i="40"/>
  <c r="H22" i="40"/>
  <c r="D20" i="39"/>
  <c r="D21" i="39"/>
  <c r="D22" i="39"/>
  <c r="D34" i="33"/>
  <c r="D27" i="33"/>
  <c r="D28" i="33"/>
  <c r="E27" i="33"/>
  <c r="E28" i="33"/>
  <c r="F27" i="33"/>
  <c r="F28" i="33"/>
  <c r="G27" i="33"/>
  <c r="G28" i="33"/>
  <c r="D35" i="33"/>
  <c r="F30" i="38"/>
  <c r="F34" i="38" s="1"/>
  <c r="E53" i="38"/>
  <c r="E57" i="38" s="1"/>
  <c r="D62" i="38"/>
  <c r="D28" i="36"/>
  <c r="D29" i="36"/>
  <c r="D30" i="36"/>
  <c r="D34" i="36" s="1"/>
  <c r="F28" i="36"/>
  <c r="F29" i="36"/>
  <c r="F30" i="36"/>
  <c r="F40" i="35"/>
  <c r="G40" i="35" s="1"/>
  <c r="G42" i="35"/>
  <c r="D44" i="35"/>
  <c r="D45" i="35" s="1"/>
  <c r="F42" i="35"/>
  <c r="F45" i="35" s="1"/>
  <c r="F52" i="35" s="1"/>
  <c r="H52" i="35"/>
  <c r="H28" i="35"/>
  <c r="H27" i="35"/>
  <c r="I52" i="35"/>
  <c r="I28" i="35"/>
  <c r="I27" i="35"/>
  <c r="J52" i="35"/>
  <c r="J28" i="35"/>
  <c r="J27" i="35"/>
  <c r="J25" i="35"/>
  <c r="J32" i="35" s="1"/>
  <c r="D51" i="35"/>
  <c r="F28" i="35"/>
  <c r="F27" i="35"/>
  <c r="G28" i="35"/>
  <c r="G27" i="35"/>
  <c r="D32" i="35"/>
  <c r="D33" i="35" s="1"/>
  <c r="I25" i="35"/>
  <c r="H25" i="35"/>
  <c r="G25" i="35"/>
  <c r="F25" i="35"/>
  <c r="D25" i="35"/>
  <c r="D26" i="34"/>
  <c r="D27" i="34"/>
  <c r="D28" i="34"/>
  <c r="D29" i="34"/>
  <c r="D30" i="34"/>
  <c r="D21" i="34"/>
  <c r="D47" i="32"/>
  <c r="E35" i="32"/>
  <c r="F35" i="32"/>
  <c r="G35" i="32"/>
  <c r="H35" i="32"/>
  <c r="I35" i="32"/>
  <c r="I36" i="32"/>
  <c r="I37" i="32"/>
  <c r="I38" i="32"/>
  <c r="I42" i="32" s="1"/>
  <c r="H36" i="32"/>
  <c r="H37" i="32"/>
  <c r="H38" i="32"/>
  <c r="G36" i="32"/>
  <c r="G37" i="32"/>
  <c r="G38" i="32"/>
  <c r="G42" i="32" s="1"/>
  <c r="F36" i="32"/>
  <c r="F37" i="32"/>
  <c r="F38" i="32"/>
  <c r="F42" i="32" s="1"/>
  <c r="E36" i="32"/>
  <c r="E37" i="32"/>
  <c r="E38" i="32"/>
  <c r="E33" i="32" s="1"/>
  <c r="D48" i="32"/>
  <c r="D49" i="32" s="1"/>
  <c r="D14" i="25"/>
  <c r="D9" i="25"/>
  <c r="D25" i="24"/>
  <c r="D26" i="24" s="1"/>
  <c r="D12" i="25"/>
  <c r="D28" i="24"/>
  <c r="D29" i="24" s="1"/>
  <c r="D11" i="25" s="1"/>
  <c r="D28" i="21"/>
  <c r="D26" i="21"/>
  <c r="D32" i="21"/>
  <c r="D13" i="16"/>
  <c r="D12" i="16"/>
  <c r="D21" i="17"/>
  <c r="D23" i="17" s="1"/>
  <c r="D22" i="17"/>
  <c r="E56" i="61" l="1"/>
  <c r="D72" i="61"/>
  <c r="D10" i="16"/>
  <c r="D10" i="70"/>
  <c r="D35" i="47"/>
  <c r="I30" i="38"/>
  <c r="I34" i="38" s="1"/>
  <c r="F56" i="61"/>
  <c r="E72" i="61"/>
  <c r="D7" i="16"/>
  <c r="D7" i="70"/>
  <c r="D11" i="16"/>
  <c r="D11" i="70"/>
  <c r="G56" i="61"/>
  <c r="F72" i="61"/>
  <c r="D9" i="16"/>
  <c r="D9" i="70"/>
  <c r="H56" i="61"/>
  <c r="G72" i="61"/>
  <c r="D8" i="16"/>
  <c r="D8" i="70"/>
  <c r="D24" i="38"/>
  <c r="I40" i="38" s="1"/>
  <c r="D85" i="38"/>
  <c r="I85" i="38" s="1"/>
  <c r="I62" i="38"/>
  <c r="D39" i="38"/>
  <c r="F47" i="32"/>
  <c r="E29" i="59"/>
  <c r="D45" i="59" s="1"/>
  <c r="D50" i="59" s="1"/>
  <c r="D33" i="21"/>
  <c r="D34" i="21" s="1"/>
  <c r="D23" i="15"/>
  <c r="D23" i="25"/>
  <c r="I29" i="35"/>
  <c r="I33" i="35" s="1"/>
  <c r="I51" i="35" s="1"/>
  <c r="I53" i="35" s="1"/>
  <c r="I86" i="38"/>
  <c r="I63" i="38"/>
  <c r="F53" i="38"/>
  <c r="F57" i="38" s="1"/>
  <c r="H30" i="38"/>
  <c r="H34" i="38" s="1"/>
  <c r="H32" i="67"/>
  <c r="H33" i="67" s="1"/>
  <c r="H34" i="67" s="1"/>
  <c r="H35" i="67" s="1"/>
  <c r="H42" i="67" s="1"/>
  <c r="H76" i="38"/>
  <c r="H80" i="38" s="1"/>
  <c r="G30" i="38"/>
  <c r="G34" i="38" s="1"/>
  <c r="G76" i="38"/>
  <c r="G80" i="38" s="1"/>
  <c r="H53" i="38"/>
  <c r="H57" i="38" s="1"/>
  <c r="D27" i="67"/>
  <c r="D38" i="67" s="1"/>
  <c r="D36" i="61"/>
  <c r="H73" i="61" s="1"/>
  <c r="G52" i="38"/>
  <c r="F76" i="38"/>
  <c r="F80" i="38" s="1"/>
  <c r="I53" i="38"/>
  <c r="I57" i="38" s="1"/>
  <c r="E30" i="38"/>
  <c r="E34" i="38" s="1"/>
  <c r="D40" i="38"/>
  <c r="H74" i="38"/>
  <c r="I28" i="38"/>
  <c r="E28" i="38"/>
  <c r="E27" i="38"/>
  <c r="H27" i="38"/>
  <c r="H73" i="38"/>
  <c r="I74" i="38"/>
  <c r="E74" i="38"/>
  <c r="F28" i="38"/>
  <c r="I27" i="38"/>
  <c r="G73" i="38"/>
  <c r="G74" i="38"/>
  <c r="H28" i="38"/>
  <c r="F27" i="38"/>
  <c r="E73" i="38"/>
  <c r="F74" i="38"/>
  <c r="G28" i="38"/>
  <c r="G27" i="38"/>
  <c r="F73" i="38"/>
  <c r="F85" i="38" s="1"/>
  <c r="E42" i="32"/>
  <c r="H39" i="32"/>
  <c r="H40" i="32" s="1"/>
  <c r="H41" i="32" s="1"/>
  <c r="E27" i="59"/>
  <c r="D44" i="59" s="1"/>
  <c r="D49" i="59" s="1"/>
  <c r="D50" i="57"/>
  <c r="K27" i="69"/>
  <c r="K28" i="69" s="1"/>
  <c r="K29" i="69" s="1"/>
  <c r="K30" i="69" s="1"/>
  <c r="K34" i="69" s="1"/>
  <c r="D36" i="69" s="1"/>
  <c r="I48" i="69"/>
  <c r="I49" i="69" s="1"/>
  <c r="I50" i="69" s="1"/>
  <c r="I54" i="69" s="1"/>
  <c r="K45" i="69"/>
  <c r="J47" i="69"/>
  <c r="H30" i="40"/>
  <c r="D25" i="16"/>
  <c r="F25" i="16" s="1"/>
  <c r="D26" i="16"/>
  <c r="D24" i="16"/>
  <c r="F24" i="16" s="1"/>
  <c r="F36" i="57"/>
  <c r="F29" i="38"/>
  <c r="I52" i="38"/>
  <c r="F50" i="57"/>
  <c r="E25" i="54"/>
  <c r="D42" i="54" s="1"/>
  <c r="D25" i="17"/>
  <c r="H29" i="38"/>
  <c r="G85" i="38"/>
  <c r="D26" i="60"/>
  <c r="D27" i="60" s="1"/>
  <c r="D28" i="60" s="1"/>
  <c r="D30" i="60" s="1"/>
  <c r="D32" i="62"/>
  <c r="D38" i="62" s="1"/>
  <c r="D40" i="62" s="1"/>
  <c r="D29" i="21"/>
  <c r="D30" i="21" s="1"/>
  <c r="D38" i="21" s="1"/>
  <c r="G47" i="32"/>
  <c r="D86" i="38"/>
  <c r="D87" i="38" s="1"/>
  <c r="I76" i="38"/>
  <c r="I80" i="38" s="1"/>
  <c r="E76" i="38"/>
  <c r="E80" i="38" s="1"/>
  <c r="D63" i="38"/>
  <c r="D64" i="38" s="1"/>
  <c r="G53" i="38"/>
  <c r="G57" i="38" s="1"/>
  <c r="E52" i="38"/>
  <c r="D48" i="61"/>
  <c r="H76" i="61" s="1"/>
  <c r="D35" i="61"/>
  <c r="D39" i="59"/>
  <c r="D40" i="57"/>
  <c r="D41" i="57" s="1"/>
  <c r="D42" i="57" s="1"/>
  <c r="D43" i="57" s="1"/>
  <c r="F27" i="67"/>
  <c r="F38" i="67" s="1"/>
  <c r="G44" i="35"/>
  <c r="G45" i="35" s="1"/>
  <c r="G52" i="35" s="1"/>
  <c r="D34" i="65"/>
  <c r="D35" i="65" s="1"/>
  <c r="D36" i="65" s="1"/>
  <c r="D37" i="65" s="1"/>
  <c r="D37" i="64"/>
  <c r="D38" i="64" s="1"/>
  <c r="D39" i="64" s="1"/>
  <c r="D40" i="64" s="1"/>
  <c r="G29" i="35"/>
  <c r="G33" i="35" s="1"/>
  <c r="G51" i="35" s="1"/>
  <c r="F29" i="35"/>
  <c r="F33" i="35" s="1"/>
  <c r="F51" i="35" s="1"/>
  <c r="F53" i="35" s="1"/>
  <c r="J29" i="35"/>
  <c r="H29" i="35"/>
  <c r="H33" i="35" s="1"/>
  <c r="H51" i="35" s="1"/>
  <c r="H53" i="35" s="1"/>
  <c r="F29" i="33"/>
  <c r="F30" i="33" s="1"/>
  <c r="F31" i="33" s="1"/>
  <c r="E29" i="33"/>
  <c r="E30" i="33" s="1"/>
  <c r="E31" i="33" s="1"/>
  <c r="D29" i="33"/>
  <c r="D30" i="33" s="1"/>
  <c r="D31" i="33" s="1"/>
  <c r="G29" i="33"/>
  <c r="G30" i="33" s="1"/>
  <c r="G31" i="33" s="1"/>
  <c r="D41" i="38"/>
  <c r="D45" i="38" s="1"/>
  <c r="D46" i="38" s="1"/>
  <c r="D47" i="38" s="1"/>
  <c r="H47" i="32"/>
  <c r="E47" i="32"/>
  <c r="H42" i="32"/>
  <c r="F33" i="32"/>
  <c r="G33" i="32" s="1"/>
  <c r="H33" i="32" s="1"/>
  <c r="I33" i="32" s="1"/>
  <c r="I48" i="32" s="1"/>
  <c r="G24" i="59"/>
  <c r="G29" i="59" s="1"/>
  <c r="F29" i="59"/>
  <c r="D47" i="59"/>
  <c r="D53" i="59" s="1"/>
  <c r="H50" i="57"/>
  <c r="H39" i="57"/>
  <c r="D37" i="54"/>
  <c r="H27" i="67"/>
  <c r="H38" i="67" s="1"/>
  <c r="D23" i="52"/>
  <c r="D25" i="41"/>
  <c r="D29" i="41"/>
  <c r="F23" i="16"/>
  <c r="D42" i="23"/>
  <c r="D35" i="23"/>
  <c r="D40" i="23"/>
  <c r="D33" i="23"/>
  <c r="D43" i="23"/>
  <c r="D36" i="23"/>
  <c r="D41" i="23"/>
  <c r="D34" i="23"/>
  <c r="D53" i="61"/>
  <c r="D60" i="61" s="1"/>
  <c r="D52" i="65"/>
  <c r="D53" i="65" s="1"/>
  <c r="D54" i="65" s="1"/>
  <c r="D55" i="65" s="1"/>
  <c r="F34" i="65"/>
  <c r="F35" i="65" s="1"/>
  <c r="F36" i="65" s="1"/>
  <c r="F37" i="65" s="1"/>
  <c r="D49" i="64"/>
  <c r="D50" i="64" s="1"/>
  <c r="D51" i="64" s="1"/>
  <c r="D52" i="64" s="1"/>
  <c r="E37" i="64"/>
  <c r="E38" i="64" s="1"/>
  <c r="E39" i="64" s="1"/>
  <c r="E40" i="64" s="1"/>
  <c r="D42" i="64" s="1"/>
  <c r="D57" i="64" s="1"/>
  <c r="E49" i="64"/>
  <c r="E50" i="64" s="1"/>
  <c r="E51" i="64" s="1"/>
  <c r="E52" i="64" s="1"/>
  <c r="H85" i="38"/>
  <c r="E29" i="38"/>
  <c r="G29" i="38"/>
  <c r="G31" i="38" s="1"/>
  <c r="I29" i="38"/>
  <c r="F52" i="38"/>
  <c r="D31" i="34"/>
  <c r="D33" i="34" s="1"/>
  <c r="F39" i="32"/>
  <c r="F40" i="32" s="1"/>
  <c r="F41" i="32" s="1"/>
  <c r="F43" i="32" s="1"/>
  <c r="F46" i="32" s="1"/>
  <c r="F49" i="32" s="1"/>
  <c r="G39" i="32"/>
  <c r="G40" i="32" s="1"/>
  <c r="G41" i="32" s="1"/>
  <c r="G43" i="32" s="1"/>
  <c r="G46" i="32" s="1"/>
  <c r="G49" i="32" s="1"/>
  <c r="E39" i="32"/>
  <c r="E40" i="32" s="1"/>
  <c r="E41" i="32" s="1"/>
  <c r="I39" i="32"/>
  <c r="I40" i="32" s="1"/>
  <c r="I41" i="32" s="1"/>
  <c r="I43" i="32" s="1"/>
  <c r="I46" i="32" s="1"/>
  <c r="H38" i="57"/>
  <c r="H36" i="57"/>
  <c r="D32" i="67"/>
  <c r="D33" i="67" s="1"/>
  <c r="D34" i="67" s="1"/>
  <c r="D35" i="67" s="1"/>
  <c r="D28" i="52"/>
  <c r="D29" i="52" s="1"/>
  <c r="D30" i="52" s="1"/>
  <c r="D31" i="52" s="1"/>
  <c r="D36" i="52"/>
  <c r="E28" i="47"/>
  <c r="E29" i="47" s="1"/>
  <c r="E30" i="47" s="1"/>
  <c r="E31" i="47" s="1"/>
  <c r="E35" i="47" s="1"/>
  <c r="D25" i="46"/>
  <c r="F31" i="36"/>
  <c r="F32" i="36" s="1"/>
  <c r="F33" i="36" s="1"/>
  <c r="F34" i="36"/>
  <c r="D31" i="36"/>
  <c r="D32" i="36" s="1"/>
  <c r="D33" i="36" s="1"/>
  <c r="D35" i="36" s="1"/>
  <c r="D37" i="36" s="1"/>
  <c r="D38" i="36" s="1"/>
  <c r="D28" i="44"/>
  <c r="D29" i="44" s="1"/>
  <c r="D30" i="44" s="1"/>
  <c r="D32" i="44" s="1"/>
  <c r="D23" i="44"/>
  <c r="D35" i="44" s="1"/>
  <c r="D27" i="41"/>
  <c r="D21" i="13"/>
  <c r="H24" i="40"/>
  <c r="H25" i="40" s="1"/>
  <c r="H26" i="40" s="1"/>
  <c r="H28" i="40" s="1"/>
  <c r="F24" i="40"/>
  <c r="F25" i="40" s="1"/>
  <c r="F26" i="40" s="1"/>
  <c r="F28" i="40" s="1"/>
  <c r="F31" i="40" s="1"/>
  <c r="G24" i="40"/>
  <c r="G25" i="40" s="1"/>
  <c r="G26" i="40" s="1"/>
  <c r="G28" i="40" s="1"/>
  <c r="G31" i="40" s="1"/>
  <c r="E24" i="40"/>
  <c r="E25" i="40" s="1"/>
  <c r="E26" i="40" s="1"/>
  <c r="E28" i="40" s="1"/>
  <c r="E31" i="40" s="1"/>
  <c r="D31" i="40"/>
  <c r="D23" i="39"/>
  <c r="D24" i="39" s="1"/>
  <c r="D25" i="39" s="1"/>
  <c r="D27" i="39" s="1"/>
  <c r="D29" i="39" s="1"/>
  <c r="I31" i="38"/>
  <c r="D8" i="25"/>
  <c r="D21" i="25" s="1"/>
  <c r="D32" i="24"/>
  <c r="D24" i="15"/>
  <c r="D26" i="15"/>
  <c r="D25" i="15"/>
  <c r="J33" i="35"/>
  <c r="J51" i="35" s="1"/>
  <c r="J53" i="35" s="1"/>
  <c r="H25" i="47"/>
  <c r="G29" i="63"/>
  <c r="F35" i="63"/>
  <c r="F27" i="59"/>
  <c r="G23" i="59"/>
  <c r="F52" i="61"/>
  <c r="E57" i="61"/>
  <c r="E58" i="61" s="1"/>
  <c r="E61" i="61" s="1"/>
  <c r="F40" i="67"/>
  <c r="F42" i="67"/>
  <c r="F39" i="67"/>
  <c r="F41" i="67"/>
  <c r="D52" i="35"/>
  <c r="D53" i="35" s="1"/>
  <c r="D28" i="41"/>
  <c r="D31" i="41" s="1"/>
  <c r="F28" i="47"/>
  <c r="G26" i="47"/>
  <c r="H26" i="47" s="1"/>
  <c r="I26" i="47" s="1"/>
  <c r="H28" i="63"/>
  <c r="H34" i="63" s="1"/>
  <c r="G34" i="63"/>
  <c r="F27" i="54"/>
  <c r="F25" i="54"/>
  <c r="H40" i="67"/>
  <c r="E53" i="61"/>
  <c r="E35" i="63"/>
  <c r="E37" i="63" s="1"/>
  <c r="F34" i="63"/>
  <c r="F37" i="63" s="1"/>
  <c r="G31" i="65"/>
  <c r="G34" i="65" s="1"/>
  <c r="D45" i="54"/>
  <c r="E27" i="54"/>
  <c r="D43" i="54" s="1"/>
  <c r="F49" i="65"/>
  <c r="D57" i="61"/>
  <c r="D58" i="61" s="1"/>
  <c r="D61" i="61" s="1"/>
  <c r="F40" i="57"/>
  <c r="F22" i="70" l="1"/>
  <c r="D21" i="70"/>
  <c r="F21" i="70" s="1"/>
  <c r="F25" i="70"/>
  <c r="F27" i="70" s="1"/>
  <c r="F23" i="70" s="1"/>
  <c r="F20" i="70"/>
  <c r="G53" i="35"/>
  <c r="D52" i="57"/>
  <c r="C62" i="57" s="1"/>
  <c r="H41" i="67"/>
  <c r="H39" i="67"/>
  <c r="E31" i="59"/>
  <c r="D55" i="59"/>
  <c r="F31" i="59"/>
  <c r="D25" i="25"/>
  <c r="E43" i="32"/>
  <c r="E46" i="32" s="1"/>
  <c r="E49" i="32" s="1"/>
  <c r="D68" i="38"/>
  <c r="D69" i="38" s="1"/>
  <c r="D70" i="38" s="1"/>
  <c r="E75" i="38" s="1"/>
  <c r="E77" i="38" s="1"/>
  <c r="E78" i="38" s="1"/>
  <c r="E79" i="38" s="1"/>
  <c r="E81" i="38" s="1"/>
  <c r="E84" i="38" s="1"/>
  <c r="H31" i="38"/>
  <c r="F28" i="16"/>
  <c r="F30" i="16" s="1"/>
  <c r="F26" i="16" s="1"/>
  <c r="F32" i="16" s="1"/>
  <c r="F31" i="38"/>
  <c r="E85" i="38"/>
  <c r="D37" i="61"/>
  <c r="D71" i="61" s="1"/>
  <c r="E60" i="61"/>
  <c r="E64" i="61" s="1"/>
  <c r="E65" i="61" s="1"/>
  <c r="E66" i="61" s="1"/>
  <c r="E68" i="61" s="1"/>
  <c r="E71" i="61"/>
  <c r="E31" i="38"/>
  <c r="F32" i="38" s="1"/>
  <c r="F33" i="38" s="1"/>
  <c r="F35" i="38" s="1"/>
  <c r="F38" i="38" s="1"/>
  <c r="F41" i="38" s="1"/>
  <c r="E51" i="38"/>
  <c r="H50" i="38"/>
  <c r="G51" i="38"/>
  <c r="F51" i="38"/>
  <c r="H43" i="32"/>
  <c r="H46" i="32" s="1"/>
  <c r="H49" i="32" s="1"/>
  <c r="I47" i="32"/>
  <c r="I49" i="32" s="1"/>
  <c r="H24" i="59"/>
  <c r="I24" i="59" s="1"/>
  <c r="I29" i="59" s="1"/>
  <c r="H40" i="57"/>
  <c r="J48" i="69"/>
  <c r="J49" i="69" s="1"/>
  <c r="J50" i="69" s="1"/>
  <c r="J54" i="69" s="1"/>
  <c r="K47" i="69"/>
  <c r="D45" i="23"/>
  <c r="H31" i="40"/>
  <c r="D33" i="40" s="1"/>
  <c r="I32" i="38"/>
  <c r="I33" i="38" s="1"/>
  <c r="I35" i="38" s="1"/>
  <c r="I38" i="38" s="1"/>
  <c r="I41" i="38" s="1"/>
  <c r="H32" i="38"/>
  <c r="H33" i="38" s="1"/>
  <c r="H35" i="38" s="1"/>
  <c r="H38" i="38" s="1"/>
  <c r="H41" i="38" s="1"/>
  <c r="F50" i="38"/>
  <c r="D64" i="61"/>
  <c r="D65" i="61" s="1"/>
  <c r="D66" i="61" s="1"/>
  <c r="D68" i="61" s="1"/>
  <c r="I50" i="38"/>
  <c r="D55" i="35"/>
  <c r="D47" i="35"/>
  <c r="D48" i="35" s="1"/>
  <c r="F29" i="54"/>
  <c r="F30" i="54" s="1"/>
  <c r="F31" i="54" s="1"/>
  <c r="F32" i="54" s="1"/>
  <c r="F37" i="54" s="1"/>
  <c r="D38" i="52"/>
  <c r="D33" i="33"/>
  <c r="D37" i="33" s="1"/>
  <c r="D38" i="33" s="1"/>
  <c r="D40" i="33" s="1"/>
  <c r="H51" i="38"/>
  <c r="H54" i="38" s="1"/>
  <c r="E50" i="38"/>
  <c r="G50" i="38"/>
  <c r="I51" i="38"/>
  <c r="E32" i="59"/>
  <c r="E33" i="59" s="1"/>
  <c r="E34" i="59" s="1"/>
  <c r="E39" i="59" s="1"/>
  <c r="H41" i="57"/>
  <c r="H42" i="57" s="1"/>
  <c r="H43" i="57" s="1"/>
  <c r="H52" i="57" s="1"/>
  <c r="F35" i="36"/>
  <c r="F37" i="36" s="1"/>
  <c r="F38" i="36" s="1"/>
  <c r="C40" i="36" s="1"/>
  <c r="D36" i="44"/>
  <c r="D38" i="44"/>
  <c r="D39" i="44"/>
  <c r="D37" i="44"/>
  <c r="D28" i="15"/>
  <c r="D39" i="67"/>
  <c r="D41" i="67"/>
  <c r="D40" i="67"/>
  <c r="D42" i="67"/>
  <c r="E38" i="63"/>
  <c r="E39" i="63" s="1"/>
  <c r="E40" i="63" s="1"/>
  <c r="D54" i="64"/>
  <c r="D58" i="64" s="1"/>
  <c r="F41" i="57"/>
  <c r="F42" i="57" s="1"/>
  <c r="F43" i="57" s="1"/>
  <c r="F52" i="57" s="1"/>
  <c r="G35" i="65"/>
  <c r="G36" i="65" s="1"/>
  <c r="G37" i="65" s="1"/>
  <c r="D39" i="65" s="1"/>
  <c r="F29" i="47"/>
  <c r="F30" i="47" s="1"/>
  <c r="F31" i="47" s="1"/>
  <c r="F35" i="47" s="1"/>
  <c r="H23" i="59"/>
  <c r="G27" i="59"/>
  <c r="G31" i="59" s="1"/>
  <c r="I25" i="47"/>
  <c r="I28" i="47" s="1"/>
  <c r="H28" i="47"/>
  <c r="D47" i="54"/>
  <c r="E29" i="54"/>
  <c r="D35" i="35"/>
  <c r="D36" i="35" s="1"/>
  <c r="F52" i="65"/>
  <c r="G49" i="65"/>
  <c r="G52" i="65" s="1"/>
  <c r="F38" i="63"/>
  <c r="F39" i="63" s="1"/>
  <c r="F40" i="63" s="1"/>
  <c r="F44" i="63" s="1"/>
  <c r="G27" i="54"/>
  <c r="G25" i="54"/>
  <c r="F46" i="67"/>
  <c r="F44" i="67"/>
  <c r="G52" i="61"/>
  <c r="F57" i="61"/>
  <c r="F58" i="61" s="1"/>
  <c r="F61" i="61" s="1"/>
  <c r="F53" i="61"/>
  <c r="F32" i="59"/>
  <c r="F33" i="59" s="1"/>
  <c r="F34" i="59" s="1"/>
  <c r="F39" i="59" s="1"/>
  <c r="H29" i="63"/>
  <c r="H35" i="63" s="1"/>
  <c r="H37" i="63" s="1"/>
  <c r="G35" i="63"/>
  <c r="G37" i="63" s="1"/>
  <c r="G28" i="47"/>
  <c r="G32" i="38" l="1"/>
  <c r="G33" i="38" s="1"/>
  <c r="G35" i="38" s="1"/>
  <c r="G38" i="38" s="1"/>
  <c r="G41" i="38" s="1"/>
  <c r="E32" i="38"/>
  <c r="E33" i="38" s="1"/>
  <c r="E35" i="38" s="1"/>
  <c r="E38" i="38" s="1"/>
  <c r="E41" i="38" s="1"/>
  <c r="H44" i="67"/>
  <c r="F29" i="70"/>
  <c r="H46" i="67"/>
  <c r="E87" i="38"/>
  <c r="I75" i="38"/>
  <c r="I77" i="38" s="1"/>
  <c r="I78" i="38" s="1"/>
  <c r="I79" i="38" s="1"/>
  <c r="I81" i="38" s="1"/>
  <c r="I84" i="38" s="1"/>
  <c r="I87" i="38" s="1"/>
  <c r="H29" i="59"/>
  <c r="G75" i="38"/>
  <c r="G77" i="38" s="1"/>
  <c r="G78" i="38" s="1"/>
  <c r="G79" i="38" s="1"/>
  <c r="G81" i="38" s="1"/>
  <c r="G84" i="38" s="1"/>
  <c r="G87" i="38" s="1"/>
  <c r="F75" i="38"/>
  <c r="F77" i="38" s="1"/>
  <c r="F78" i="38" s="1"/>
  <c r="F79" i="38" s="1"/>
  <c r="F81" i="38" s="1"/>
  <c r="F84" i="38" s="1"/>
  <c r="F87" i="38" s="1"/>
  <c r="H75" i="38"/>
  <c r="H77" i="38" s="1"/>
  <c r="H78" i="38" s="1"/>
  <c r="H79" i="38" s="1"/>
  <c r="H81" i="38" s="1"/>
  <c r="H84" i="38" s="1"/>
  <c r="H87" i="38" s="1"/>
  <c r="D74" i="61"/>
  <c r="D78" i="61" s="1"/>
  <c r="F60" i="61"/>
  <c r="F64" i="61" s="1"/>
  <c r="F65" i="61" s="1"/>
  <c r="F66" i="61" s="1"/>
  <c r="F68" i="61" s="1"/>
  <c r="F62" i="38"/>
  <c r="H62" i="38"/>
  <c r="E62" i="38"/>
  <c r="E54" i="38"/>
  <c r="E55" i="38" s="1"/>
  <c r="E56" i="38" s="1"/>
  <c r="E58" i="38" s="1"/>
  <c r="E61" i="38" s="1"/>
  <c r="I54" i="38"/>
  <c r="I55" i="38" s="1"/>
  <c r="I56" i="38" s="1"/>
  <c r="I58" i="38" s="1"/>
  <c r="I61" i="38" s="1"/>
  <c r="I64" i="38" s="1"/>
  <c r="F54" i="38"/>
  <c r="F55" i="38" s="1"/>
  <c r="F56" i="38" s="1"/>
  <c r="F58" i="38" s="1"/>
  <c r="F61" i="38" s="1"/>
  <c r="D52" i="32"/>
  <c r="D51" i="32"/>
  <c r="K48" i="69"/>
  <c r="K49" i="69" s="1"/>
  <c r="K50" i="69" s="1"/>
  <c r="K54" i="69" s="1"/>
  <c r="D56" i="69" s="1"/>
  <c r="D41" i="44"/>
  <c r="G54" i="38"/>
  <c r="G55" i="38" s="1"/>
  <c r="G56" i="38" s="1"/>
  <c r="G58" i="38" s="1"/>
  <c r="G61" i="38" s="1"/>
  <c r="D43" i="38"/>
  <c r="G62" i="38"/>
  <c r="G29" i="54"/>
  <c r="G30" i="54" s="1"/>
  <c r="G31" i="54" s="1"/>
  <c r="G32" i="54" s="1"/>
  <c r="G37" i="54" s="1"/>
  <c r="H38" i="63"/>
  <c r="H39" i="63" s="1"/>
  <c r="H40" i="63" s="1"/>
  <c r="H44" i="63" s="1"/>
  <c r="D62" i="57"/>
  <c r="F62" i="57" s="1"/>
  <c r="D54" i="57"/>
  <c r="E44" i="63"/>
  <c r="G29" i="47"/>
  <c r="G30" i="47" s="1"/>
  <c r="G31" i="47" s="1"/>
  <c r="G35" i="47" s="1"/>
  <c r="G38" i="63"/>
  <c r="G39" i="63" s="1"/>
  <c r="G40" i="63" s="1"/>
  <c r="G44" i="63" s="1"/>
  <c r="H52" i="61"/>
  <c r="G57" i="61"/>
  <c r="G58" i="61" s="1"/>
  <c r="G61" i="61" s="1"/>
  <c r="G53" i="61"/>
  <c r="G53" i="65"/>
  <c r="G54" i="65" s="1"/>
  <c r="G55" i="65" s="1"/>
  <c r="H55" i="38"/>
  <c r="H56" i="38" s="1"/>
  <c r="H58" i="38" s="1"/>
  <c r="H61" i="38" s="1"/>
  <c r="H29" i="47"/>
  <c r="H30" i="47" s="1"/>
  <c r="H31" i="47" s="1"/>
  <c r="H35" i="47" s="1"/>
  <c r="G32" i="59"/>
  <c r="G33" i="59" s="1"/>
  <c r="G34" i="59" s="1"/>
  <c r="G39" i="59" s="1"/>
  <c r="D46" i="67"/>
  <c r="D44" i="67"/>
  <c r="H27" i="54"/>
  <c r="H25" i="54"/>
  <c r="F53" i="65"/>
  <c r="F54" i="65" s="1"/>
  <c r="F55" i="65" s="1"/>
  <c r="E30" i="54"/>
  <c r="E31" i="54" s="1"/>
  <c r="E32" i="54" s="1"/>
  <c r="E37" i="54" s="1"/>
  <c r="I29" i="47"/>
  <c r="I30" i="47" s="1"/>
  <c r="I31" i="47" s="1"/>
  <c r="I35" i="47" s="1"/>
  <c r="H27" i="59"/>
  <c r="H31" i="59" s="1"/>
  <c r="I23" i="59"/>
  <c r="I27" i="59" s="1"/>
  <c r="I31" i="59" s="1"/>
  <c r="D89" i="38" l="1"/>
  <c r="F64" i="38"/>
  <c r="E64" i="38"/>
  <c r="H64" i="38"/>
  <c r="G60" i="61"/>
  <c r="G64" i="61" s="1"/>
  <c r="G65" i="61" s="1"/>
  <c r="G66" i="61" s="1"/>
  <c r="G68" i="61" s="1"/>
  <c r="G71" i="61"/>
  <c r="F71" i="61"/>
  <c r="E74" i="61"/>
  <c r="E78" i="61" s="1"/>
  <c r="G64" i="38"/>
  <c r="H29" i="54"/>
  <c r="H30" i="54" s="1"/>
  <c r="H31" i="54" s="1"/>
  <c r="H32" i="54" s="1"/>
  <c r="H37" i="54" s="1"/>
  <c r="D57" i="65"/>
  <c r="D59" i="65" s="1"/>
  <c r="H32" i="59"/>
  <c r="H33" i="59" s="1"/>
  <c r="H34" i="59" s="1"/>
  <c r="H39" i="59" s="1"/>
  <c r="I32" i="59"/>
  <c r="I33" i="59" s="1"/>
  <c r="I34" i="59" s="1"/>
  <c r="I39" i="59" s="1"/>
  <c r="I25" i="54"/>
  <c r="I27" i="54"/>
  <c r="H57" i="61"/>
  <c r="H58" i="61" s="1"/>
  <c r="H61" i="61" s="1"/>
  <c r="H53" i="61"/>
  <c r="D46" i="63"/>
  <c r="F74" i="61" l="1"/>
  <c r="F78" i="61" s="1"/>
  <c r="D66" i="38"/>
  <c r="H60" i="61"/>
  <c r="H64" i="61" s="1"/>
  <c r="H65" i="61" s="1"/>
  <c r="H66" i="61" s="1"/>
  <c r="H68" i="61" s="1"/>
  <c r="H71" i="61"/>
  <c r="H74" i="61" s="1"/>
  <c r="D41" i="59"/>
  <c r="I29" i="54"/>
  <c r="G74" i="61" l="1"/>
  <c r="G78" i="61" s="1"/>
  <c r="H78" i="61"/>
  <c r="D80" i="61" s="1"/>
  <c r="I30" i="54"/>
  <c r="I31" i="54" s="1"/>
  <c r="I32" i="54" s="1"/>
  <c r="I37" i="54" s="1"/>
  <c r="D39" i="54" s="1"/>
</calcChain>
</file>

<file path=xl/sharedStrings.xml><?xml version="1.0" encoding="utf-8"?>
<sst xmlns="http://schemas.openxmlformats.org/spreadsheetml/2006/main" count="1279" uniqueCount="450">
  <si>
    <t>Question 1</t>
  </si>
  <si>
    <t>Input area:</t>
  </si>
  <si>
    <t>Output area:</t>
  </si>
  <si>
    <t>Question 2</t>
  </si>
  <si>
    <t>Question 3</t>
  </si>
  <si>
    <t>Depreciation</t>
  </si>
  <si>
    <t>Tax rate</t>
  </si>
  <si>
    <t>Variable cost</t>
  </si>
  <si>
    <t>EBT</t>
  </si>
  <si>
    <t>Question 4</t>
  </si>
  <si>
    <t>Sales</t>
  </si>
  <si>
    <t>OCF</t>
  </si>
  <si>
    <t>Depreciation tax shield</t>
  </si>
  <si>
    <t>Question 5</t>
  </si>
  <si>
    <t>Costs</t>
  </si>
  <si>
    <t>Question 6</t>
  </si>
  <si>
    <t>Asset investment</t>
  </si>
  <si>
    <t>Estimated annual sales</t>
  </si>
  <si>
    <t>to zero over tax life</t>
  </si>
  <si>
    <t>Required return</t>
  </si>
  <si>
    <t>NPV</t>
  </si>
  <si>
    <t>Initial investment in NWC</t>
  </si>
  <si>
    <t xml:space="preserve">Fixed asset value at end </t>
  </si>
  <si>
    <t>Year</t>
  </si>
  <si>
    <t>Cash flow</t>
  </si>
  <si>
    <t>Question 13</t>
  </si>
  <si>
    <t>Book value</t>
  </si>
  <si>
    <t>Aftertax salvage value</t>
  </si>
  <si>
    <t>Question 14</t>
  </si>
  <si>
    <t>Operating cost per year</t>
  </si>
  <si>
    <t>Initial investment</t>
  </si>
  <si>
    <t>Discount rate</t>
  </si>
  <si>
    <t>Pretax salvage value</t>
  </si>
  <si>
    <t>*Depreciation straight-line</t>
  </si>
  <si>
    <t>*Depreciation staight-line</t>
  </si>
  <si>
    <t>over life</t>
  </si>
  <si>
    <t>Annual depreciation charge</t>
  </si>
  <si>
    <t>Question 15</t>
  </si>
  <si>
    <t>Working capital reduction</t>
  </si>
  <si>
    <t>Question 16</t>
  </si>
  <si>
    <t>Cost savings per year</t>
  </si>
  <si>
    <t>Question 17</t>
  </si>
  <si>
    <t>EAC</t>
  </si>
  <si>
    <t>Question 18</t>
  </si>
  <si>
    <t>Techron I :</t>
  </si>
  <si>
    <t>Cost</t>
  </si>
  <si>
    <t>Operating costs per year</t>
  </si>
  <si>
    <t>Life</t>
  </si>
  <si>
    <t>Techron II :</t>
  </si>
  <si>
    <t>Both:</t>
  </si>
  <si>
    <t>Salvage value</t>
  </si>
  <si>
    <t xml:space="preserve">*Depreciation straight-line </t>
  </si>
  <si>
    <t>Both cases:</t>
  </si>
  <si>
    <t>Techron I:</t>
  </si>
  <si>
    <t>Techron II:</t>
  </si>
  <si>
    <t xml:space="preserve">The two milling machines have unequal lives, so they can only be compared by </t>
  </si>
  <si>
    <t>expressing both on an equivalent annual basis which is what the EAC method does.</t>
  </si>
  <si>
    <t xml:space="preserve">Cost </t>
  </si>
  <si>
    <t xml:space="preserve">Variable production cost </t>
  </si>
  <si>
    <t xml:space="preserve">    per carton</t>
  </si>
  <si>
    <t>Question 20</t>
  </si>
  <si>
    <t>Inventory cost</t>
  </si>
  <si>
    <t>Inventory cost per year</t>
  </si>
  <si>
    <t>Question 21</t>
  </si>
  <si>
    <t>Pretax annual operating cost</t>
  </si>
  <si>
    <t>System B:</t>
  </si>
  <si>
    <t>System A:</t>
  </si>
  <si>
    <t>If the system will not be replaced when it wears</t>
  </si>
  <si>
    <t>Question 22</t>
  </si>
  <si>
    <t>Initial NWC</t>
  </si>
  <si>
    <t>IRR</t>
  </si>
  <si>
    <t>Input boxes in tan</t>
  </si>
  <si>
    <t>Output boxes in yellow</t>
  </si>
  <si>
    <t>Given data in blue</t>
  </si>
  <si>
    <t>Calculations in red</t>
  </si>
  <si>
    <t>Answers in green</t>
  </si>
  <si>
    <t>Taxes</t>
  </si>
  <si>
    <t>Variable costs</t>
  </si>
  <si>
    <t>Fixed costs</t>
  </si>
  <si>
    <t>Installation cost</t>
  </si>
  <si>
    <t>NPV w/o OCF</t>
  </si>
  <si>
    <t>Cost savings</t>
  </si>
  <si>
    <t xml:space="preserve">Thus, you prefer the </t>
  </si>
  <si>
    <t>because it has the lower</t>
  </si>
  <si>
    <t>(less negative) annual cost.</t>
  </si>
  <si>
    <t>Quantity</t>
  </si>
  <si>
    <t>Installation costs</t>
  </si>
  <si>
    <t>Net working capital</t>
  </si>
  <si>
    <t>Initial cash outlay</t>
  </si>
  <si>
    <t>Necessary OCF</t>
  </si>
  <si>
    <t>OCF net of dep. tax shield</t>
  </si>
  <si>
    <t>Bid price</t>
  </si>
  <si>
    <t>Machine cost</t>
  </si>
  <si>
    <t xml:space="preserve">out, then </t>
  </si>
  <si>
    <t>Operating life</t>
  </si>
  <si>
    <t>lower EAC.</t>
  </si>
  <si>
    <t xml:space="preserve">should be chosen because it has the </t>
  </si>
  <si>
    <t xml:space="preserve">If the system is replaced, </t>
  </si>
  <si>
    <t>Additional NWC/year</t>
  </si>
  <si>
    <t>Year 1 unit sales</t>
  </si>
  <si>
    <t>Year 2 unit sales</t>
  </si>
  <si>
    <t>Year 3 unit sales</t>
  </si>
  <si>
    <t>Year 4 unit sales</t>
  </si>
  <si>
    <t>Year 5 unit sales</t>
  </si>
  <si>
    <t>Variable cost per unit</t>
  </si>
  <si>
    <t>Unit price</t>
  </si>
  <si>
    <t>Equipment cost</t>
  </si>
  <si>
    <t>Salvage value (% of price)</t>
  </si>
  <si>
    <t>Ending book value</t>
  </si>
  <si>
    <t>EBIT</t>
  </si>
  <si>
    <t>Net income</t>
  </si>
  <si>
    <t>Operating cash flow</t>
  </si>
  <si>
    <t>Net cash flows</t>
  </si>
  <si>
    <t>Change in NWC</t>
  </si>
  <si>
    <t>Capital spending</t>
  </si>
  <si>
    <t>Total cash flow</t>
  </si>
  <si>
    <t>Net present value</t>
  </si>
  <si>
    <t>Internal rate of return</t>
  </si>
  <si>
    <t>Question 25</t>
  </si>
  <si>
    <t>Question 26</t>
  </si>
  <si>
    <t>Installed cost</t>
  </si>
  <si>
    <t>NPV net of OCF</t>
  </si>
  <si>
    <t>Pretax cost savings</t>
  </si>
  <si>
    <t>Price per carton</t>
  </si>
  <si>
    <t>a.</t>
  </si>
  <si>
    <t>b.</t>
  </si>
  <si>
    <t>Breakeven quantity</t>
  </si>
  <si>
    <t>c.</t>
  </si>
  <si>
    <t>Breakeven fixed costs</t>
  </si>
  <si>
    <t>Question 27</t>
  </si>
  <si>
    <t>Input Area:</t>
  </si>
  <si>
    <t>Old cost</t>
  </si>
  <si>
    <t>New machine cost</t>
  </si>
  <si>
    <t>Life of machine</t>
  </si>
  <si>
    <t>Old machine depreciation</t>
  </si>
  <si>
    <t>MV old machine</t>
  </si>
  <si>
    <t>Old machine value in 2 yrs</t>
  </si>
  <si>
    <t>Saved operating costs</t>
  </si>
  <si>
    <t>Output Area:</t>
  </si>
  <si>
    <t>New computer:</t>
  </si>
  <si>
    <t>Operating CF</t>
  </si>
  <si>
    <t>Old Computer:</t>
  </si>
  <si>
    <t>Difference:</t>
  </si>
  <si>
    <t>New computer</t>
  </si>
  <si>
    <t>Old computer</t>
  </si>
  <si>
    <t>Question 19</t>
  </si>
  <si>
    <t>Machine A:</t>
  </si>
  <si>
    <t>Machine B:</t>
  </si>
  <si>
    <t>Machine A</t>
  </si>
  <si>
    <t>Machine B</t>
  </si>
  <si>
    <t>Tax</t>
  </si>
  <si>
    <t>+ Dep</t>
  </si>
  <si>
    <t xml:space="preserve">should be chosen since it has the </t>
  </si>
  <si>
    <t>Year 1 depreciation CF</t>
  </si>
  <si>
    <t>Year 2 depreciation CF</t>
  </si>
  <si>
    <t>Year 3 depreciation CF</t>
  </si>
  <si>
    <t>Year 4 depreciation CF</t>
  </si>
  <si>
    <t>Question 29</t>
  </si>
  <si>
    <t>Question 28</t>
  </si>
  <si>
    <t>Contract quantity</t>
  </si>
  <si>
    <t>Equipment</t>
  </si>
  <si>
    <t>Variable costs/unit</t>
  </si>
  <si>
    <t>Mkt. sales in Year 1</t>
  </si>
  <si>
    <t>Mkt. sales in Year 2</t>
  </si>
  <si>
    <t>Mkt. sales in Year 3</t>
  </si>
  <si>
    <t>Mkt. sales in Year 4</t>
  </si>
  <si>
    <t>Market price</t>
  </si>
  <si>
    <t>Project NPV</t>
  </si>
  <si>
    <t>Market sales</t>
  </si>
  <si>
    <t>Net income (and OCF)</t>
  </si>
  <si>
    <t>NPV of market sales</t>
  </si>
  <si>
    <t>NPV of OCF</t>
  </si>
  <si>
    <t>Units sold</t>
  </si>
  <si>
    <t>Cost per unit</t>
  </si>
  <si>
    <t>Price per unit</t>
  </si>
  <si>
    <t>Year 0</t>
  </si>
  <si>
    <t>Year 1</t>
  </si>
  <si>
    <t>Year 2</t>
  </si>
  <si>
    <t>Year 3</t>
  </si>
  <si>
    <t>Year 4</t>
  </si>
  <si>
    <t>Investment</t>
  </si>
  <si>
    <t>Sales revenue</t>
  </si>
  <si>
    <t>Operating costs</t>
  </si>
  <si>
    <t>?</t>
  </si>
  <si>
    <t>NWC</t>
  </si>
  <si>
    <t>Incremental cash flow</t>
  </si>
  <si>
    <t>Question 8</t>
  </si>
  <si>
    <t>Acquisition costs</t>
  </si>
  <si>
    <t>Question 7</t>
  </si>
  <si>
    <t>Question 10</t>
  </si>
  <si>
    <t>Question 9</t>
  </si>
  <si>
    <t>Operating expenses</t>
  </si>
  <si>
    <t>Total</t>
  </si>
  <si>
    <t>Question 11</t>
  </si>
  <si>
    <t>Question 12</t>
  </si>
  <si>
    <t>Annual cash flows:</t>
  </si>
  <si>
    <t>Project A</t>
  </si>
  <si>
    <t>Project B</t>
  </si>
  <si>
    <t>.</t>
  </si>
  <si>
    <t>Inflation rate</t>
  </si>
  <si>
    <t>Real required return</t>
  </si>
  <si>
    <t>Nominal required return</t>
  </si>
  <si>
    <t>Project A NPV</t>
  </si>
  <si>
    <t>Project B NPV</t>
  </si>
  <si>
    <t>Bottles sold</t>
  </si>
  <si>
    <t>Real sales price/bottle</t>
  </si>
  <si>
    <t>Cost/bottle</t>
  </si>
  <si>
    <t>Price increase</t>
  </si>
  <si>
    <t>Cost increase</t>
  </si>
  <si>
    <t>Year 1 aftertax revenue</t>
  </si>
  <si>
    <t>Year 1 aftertax costs</t>
  </si>
  <si>
    <t>PV of future aftertax revenue</t>
  </si>
  <si>
    <t>PV of future aftertax costs</t>
  </si>
  <si>
    <t>Value of company</t>
  </si>
  <si>
    <t>Year 1 nominal revenue</t>
  </si>
  <si>
    <t>Year 1 nominal expense</t>
  </si>
  <si>
    <t>Revenue &amp; Expense growth rate</t>
  </si>
  <si>
    <t>Nominal salvage value</t>
  </si>
  <si>
    <t>Expenses</t>
  </si>
  <si>
    <t>Total nominal cash flow</t>
  </si>
  <si>
    <t>Year 5</t>
  </si>
  <si>
    <t>Tax on sale</t>
  </si>
  <si>
    <t>Real cash flow</t>
  </si>
  <si>
    <t>Real cash flow growth rate</t>
  </si>
  <si>
    <t>Maintenance cost</t>
  </si>
  <si>
    <t>Cost of new machine</t>
  </si>
  <si>
    <t>Old machine book value</t>
  </si>
  <si>
    <t>Old machine market value</t>
  </si>
  <si>
    <t>Years of operation</t>
  </si>
  <si>
    <t>Purchase new machine</t>
  </si>
  <si>
    <t>Taxes on old machine</t>
  </si>
  <si>
    <t>Incremental cash flows</t>
  </si>
  <si>
    <t>Operating expense</t>
  </si>
  <si>
    <t xml:space="preserve">Pretax salvage value </t>
  </si>
  <si>
    <t>Saved salaries</t>
  </si>
  <si>
    <t>Reduction in NWC</t>
  </si>
  <si>
    <t>Sale of equipment</t>
  </si>
  <si>
    <t>Initial cost</t>
  </si>
  <si>
    <t>Growth rate in costs</t>
  </si>
  <si>
    <t>Nominal operating revenues</t>
  </si>
  <si>
    <t>Nominal production costs</t>
  </si>
  <si>
    <t>In nominal dollars:</t>
  </si>
  <si>
    <t>Revenues</t>
  </si>
  <si>
    <t>Year 6</t>
  </si>
  <si>
    <t>Year 7</t>
  </si>
  <si>
    <t>PV of revenue</t>
  </si>
  <si>
    <t>PV of revenue aftertax</t>
  </si>
  <si>
    <t>PV of costs</t>
  </si>
  <si>
    <t>PV of costs aftertax</t>
  </si>
  <si>
    <t>PV of depreciation tax shield</t>
  </si>
  <si>
    <t>Years project lasts</t>
  </si>
  <si>
    <t>Question 24</t>
  </si>
  <si>
    <t>Growth rate in quantity sold</t>
  </si>
  <si>
    <t>First year quantity sold</t>
  </si>
  <si>
    <t>Quantity sold</t>
  </si>
  <si>
    <t>Original cost of land</t>
  </si>
  <si>
    <t>Year 1 sales</t>
  </si>
  <si>
    <t>Year 2 sales</t>
  </si>
  <si>
    <t>Year 3 sales</t>
  </si>
  <si>
    <t>Year 4 sales</t>
  </si>
  <si>
    <t>Sales price</t>
  </si>
  <si>
    <t>Equipment costs</t>
  </si>
  <si>
    <t>Marketing study</t>
  </si>
  <si>
    <t>Year 1 depreciation</t>
  </si>
  <si>
    <t>Year 2 depreciation</t>
  </si>
  <si>
    <t>Year 3 depreciation</t>
  </si>
  <si>
    <t>Year 4 depreciation</t>
  </si>
  <si>
    <t>Sale price</t>
  </si>
  <si>
    <t>Old machine:</t>
  </si>
  <si>
    <t>Current MV</t>
  </si>
  <si>
    <t>Current BV</t>
  </si>
  <si>
    <t>Annual maintenance</t>
  </si>
  <si>
    <t>Salvage value in 5 years</t>
  </si>
  <si>
    <t>BV in 5 years</t>
  </si>
  <si>
    <t>New machine:</t>
  </si>
  <si>
    <t>Replacement machine</t>
  </si>
  <si>
    <t>cost in 5 years</t>
  </si>
  <si>
    <t>Buy new machine</t>
  </si>
  <si>
    <t xml:space="preserve">Taxes on sale </t>
  </si>
  <si>
    <t>Sell machine</t>
  </si>
  <si>
    <t>Buy new machine:</t>
  </si>
  <si>
    <t>Keep old machine:</t>
  </si>
  <si>
    <t xml:space="preserve">You should </t>
  </si>
  <si>
    <t>since the NPV of the decision is greater (less negative).</t>
  </si>
  <si>
    <t>Lost sale of old</t>
  </si>
  <si>
    <t>Taxes on sale of old</t>
  </si>
  <si>
    <t>Note that the NPV of the differential cash flow method is the same</t>
  </si>
  <si>
    <t>as the difference between the NPVs of the individual decision</t>
  </si>
  <si>
    <t>we calculated earlier, that is:</t>
  </si>
  <si>
    <t>Keep old machine</t>
  </si>
  <si>
    <t>Buy new machine -</t>
  </si>
  <si>
    <t>=</t>
  </si>
  <si>
    <t>Either method will give you the same answer.</t>
  </si>
  <si>
    <t xml:space="preserve">NPV </t>
  </si>
  <si>
    <t>Real discount rate</t>
  </si>
  <si>
    <t>Cost of machine</t>
  </si>
  <si>
    <t>Price of keyboard</t>
  </si>
  <si>
    <t>Annual increase in price</t>
  </si>
  <si>
    <t>Production cost</t>
  </si>
  <si>
    <t>Annual increase in cost</t>
  </si>
  <si>
    <t>Quantity sold per year</t>
  </si>
  <si>
    <t>Question 30</t>
  </si>
  <si>
    <t>Question 31</t>
  </si>
  <si>
    <t>Question 32</t>
  </si>
  <si>
    <t>Question 35</t>
  </si>
  <si>
    <t>Question 34</t>
  </si>
  <si>
    <t>Question 33</t>
  </si>
  <si>
    <t>Price</t>
  </si>
  <si>
    <t>New Inventory</t>
  </si>
  <si>
    <t>Lost sales</t>
  </si>
  <si>
    <t>Price of lost sales</t>
  </si>
  <si>
    <t>VC on lost sales</t>
  </si>
  <si>
    <t>Old inventory</t>
  </si>
  <si>
    <t>Inventory</t>
  </si>
  <si>
    <t>Old Inventory</t>
  </si>
  <si>
    <t>Total cost</t>
  </si>
  <si>
    <t>VC</t>
  </si>
  <si>
    <t>Dep.</t>
  </si>
  <si>
    <t>NI</t>
  </si>
  <si>
    <t>+Dep.</t>
  </si>
  <si>
    <t>Beginning</t>
  </si>
  <si>
    <t>Ending</t>
  </si>
  <si>
    <t>Change</t>
  </si>
  <si>
    <t>Total Cash flow</t>
  </si>
  <si>
    <t>Year 1 quantity</t>
  </si>
  <si>
    <t>Year 2 quantity</t>
  </si>
  <si>
    <t>Year 3 quantity</t>
  </si>
  <si>
    <t>Year 4 quantity</t>
  </si>
  <si>
    <t>Year 5 quantity</t>
  </si>
  <si>
    <t>Year 5 aftertax salvage value</t>
  </si>
  <si>
    <t>Sell equipment</t>
  </si>
  <si>
    <t>Salvage value:</t>
  </si>
  <si>
    <t>Purchase today</t>
  </si>
  <si>
    <t>Purchase in 2 years</t>
  </si>
  <si>
    <t>Question 37</t>
  </si>
  <si>
    <t>Year 1 revenues</t>
  </si>
  <si>
    <t>Year 1 labor costs</t>
  </si>
  <si>
    <t>Year 1 other costs</t>
  </si>
  <si>
    <t>Lease cost</t>
  </si>
  <si>
    <t>Revenue increase</t>
  </si>
  <si>
    <t>Labor increase</t>
  </si>
  <si>
    <t>Other cost increase</t>
  </si>
  <si>
    <t>Real values today:</t>
  </si>
  <si>
    <t>Labor costs</t>
  </si>
  <si>
    <t>Other costs</t>
  </si>
  <si>
    <t>Aftertax present values:</t>
  </si>
  <si>
    <t>Lease payments</t>
  </si>
  <si>
    <t>Pretax present values:</t>
  </si>
  <si>
    <t>Question 38</t>
  </si>
  <si>
    <t>Required investment</t>
  </si>
  <si>
    <t>Real product price</t>
  </si>
  <si>
    <t>Real labor cost/hour</t>
  </si>
  <si>
    <t>Real increase in labor cost</t>
  </si>
  <si>
    <t>Real energy cost/unit</t>
  </si>
  <si>
    <t>Real increase in energy cost</t>
  </si>
  <si>
    <t>Real labor cost each year</t>
  </si>
  <si>
    <t>Real energy cost each year</t>
  </si>
  <si>
    <t>Labor cost</t>
  </si>
  <si>
    <t>Energy cost</t>
  </si>
  <si>
    <t>Nominal depreciation each year</t>
  </si>
  <si>
    <t>Question 36</t>
  </si>
  <si>
    <t>Purchase price of warehouse</t>
  </si>
  <si>
    <t>Rent for building</t>
  </si>
  <si>
    <t>Product A:</t>
  </si>
  <si>
    <t>Building modifications</t>
  </si>
  <si>
    <t>Product B:</t>
  </si>
  <si>
    <t>Pretax revenues</t>
  </si>
  <si>
    <t>Pretax expenditures</t>
  </si>
  <si>
    <t>Restoration costs</t>
  </si>
  <si>
    <t>Rent building:</t>
  </si>
  <si>
    <t>Years for project</t>
  </si>
  <si>
    <t>Rent</t>
  </si>
  <si>
    <t>Year 1-14</t>
  </si>
  <si>
    <t>Year 15</t>
  </si>
  <si>
    <t>Revenue</t>
  </si>
  <si>
    <t>Expenditures</t>
  </si>
  <si>
    <t>Restoration cost</t>
  </si>
  <si>
    <t>Headache only:</t>
  </si>
  <si>
    <t>Real price</t>
  </si>
  <si>
    <t>Units sold per year</t>
  </si>
  <si>
    <t>Real cost of production</t>
  </si>
  <si>
    <t>Headache and arthritis:</t>
  </si>
  <si>
    <t>Real pretax salvage</t>
  </si>
  <si>
    <t>Both pills:</t>
  </si>
  <si>
    <t>Life (years)</t>
  </si>
  <si>
    <t>Production costs</t>
  </si>
  <si>
    <t xml:space="preserve">Choose the </t>
  </si>
  <si>
    <t>pill since it has the greater NPV.</t>
  </si>
  <si>
    <t>Incremental
analysis</t>
  </si>
  <si>
    <t>Alternate solution:</t>
  </si>
  <si>
    <t>PV of revenues</t>
  </si>
  <si>
    <t>PV of variable costs</t>
  </si>
  <si>
    <t>PV of fixed costs</t>
  </si>
  <si>
    <t>PV of depreciation</t>
  </si>
  <si>
    <t>Land</t>
  </si>
  <si>
    <t>Aftertax PV of fixed costs</t>
  </si>
  <si>
    <t>Aftertax PV of depreciation</t>
  </si>
  <si>
    <t xml:space="preserve">    tax shield</t>
  </si>
  <si>
    <t>Aftertax PV of revenues</t>
  </si>
  <si>
    <t>Aftertax PV of variable costs</t>
  </si>
  <si>
    <t>Initial cash outlay:</t>
  </si>
  <si>
    <t>Year 2 capital spending</t>
  </si>
  <si>
    <t>Market value</t>
  </si>
  <si>
    <t>Book value of equipment in five years</t>
  </si>
  <si>
    <t>New table</t>
  </si>
  <si>
    <t>Old table</t>
  </si>
  <si>
    <t>Differential:</t>
  </si>
  <si>
    <t>Sell (buy) old machine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</si>
  <si>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</si>
  <si>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</si>
  <si>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</si>
  <si>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</si>
  <si>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Chapter 6</t>
  </si>
  <si>
    <t>Annual pretax cost savings</t>
  </si>
  <si>
    <t>Taxes on salvage</t>
  </si>
  <si>
    <t>Current land value</t>
  </si>
  <si>
    <t>Land value in 4 years</t>
  </si>
  <si>
    <t xml:space="preserve">Year 1 depreciation </t>
  </si>
  <si>
    <t xml:space="preserve">Year 2 depreciation </t>
  </si>
  <si>
    <t xml:space="preserve">Year 3 depreciation </t>
  </si>
  <si>
    <t xml:space="preserve">Year 4 depreciation </t>
  </si>
  <si>
    <t>Differential NPV:</t>
  </si>
  <si>
    <t>Rent vs. Product B</t>
  </si>
  <si>
    <t>should be chosen, because it has the less</t>
  </si>
  <si>
    <t>negative NPV.</t>
  </si>
  <si>
    <t>New salvage value</t>
  </si>
  <si>
    <t>In real dollars:</t>
  </si>
  <si>
    <t>Real cost increase</t>
  </si>
  <si>
    <t>Real production costs</t>
  </si>
  <si>
    <t>Real revenues</t>
  </si>
  <si>
    <t>Growth rate in revenues/Inflation</t>
  </si>
  <si>
    <t xml:space="preserve">3-year MACRS </t>
  </si>
  <si>
    <t>5-year MACRS</t>
  </si>
  <si>
    <t>Real cash flows</t>
  </si>
  <si>
    <t>Nominal cash flows</t>
  </si>
  <si>
    <t>3-year MACRS</t>
  </si>
  <si>
    <t>7-year MACRS</t>
  </si>
  <si>
    <t>BV old machine</t>
  </si>
  <si>
    <t>Rent vs. Product A</t>
  </si>
  <si>
    <t>Physical production in units</t>
  </si>
  <si>
    <t>Labor input in hours</t>
  </si>
  <si>
    <t>Energy input in physical units</t>
  </si>
  <si>
    <t xml:space="preserve">Sales </t>
  </si>
  <si>
    <t>Years 2-5</t>
  </si>
  <si>
    <t>+ Depreciation</t>
  </si>
  <si>
    <t>Question 39</t>
  </si>
  <si>
    <t>Question 40</t>
  </si>
  <si>
    <t>Question 41</t>
  </si>
  <si>
    <t>Question 42</t>
  </si>
  <si>
    <t>Problems 1-42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</si>
</sst>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0"/>
    <numFmt numFmtId="166" formatCode="#,##0.0000_);[Red]\(#,##0.0000\)"/>
    <numFmt numFmtId="167" formatCode="#,##0.0000"/>
    <numFmt numFmtId="168" formatCode="_(&quot;$&quot;* #,##0_);_(&quot;$&quot;* \(#,##0\);_(&quot;$&quot;* &quot;-&quot;??_);_(@_)"/>
    <numFmt numFmtId="169" formatCode="_(* #,##0_);_(* \(#,##0\);_(* &quot;-&quot;??_);_(@_)"/>
    <numFmt numFmtId="170" formatCode="_(&quot;$&quot;* #,##0_);_(&quot;$&quot;* \(#,##0\);_(&quot;$&quot;* &quot;-&quot;???_);_(@_)"/>
    <numFmt numFmtId="171" formatCode="_(&quot;$&quot;* #,##0.00_);_(&quot;$&quot;* \(#,##0.00\);_(&quot;$&quot;* &quot;-&quot;?????_);_(@_)"/>
    <numFmt numFmtId="172" formatCode="_(&quot;$&quot;* #,##0.00_);_(&quot;$&quot;* \(#,##0.00\);_(&quot;$&quot;* &quot;-&quot;_);_(@_)"/>
    <numFmt numFmtId="173" formatCode="_(&quot;$&quot;* #,##0.0_);_(&quot;$&quot;* \(#,##0.0\);_(&quot;$&quot;* &quot;-&quot;??_);_(@_)"/>
    <numFmt numFmtId="174" formatCode="_(* #,##0.0000_);_(* \(#,##0.0000\);_(* &quot;-&quot;????_);_(@_)"/>
    <numFmt numFmtId="175" formatCode="_(* #,##0.0_);_(* \(#,##0.0\);_(* &quot;-&quot;?_);_(@_)"/>
    <numFmt numFmtId="176" formatCode="0.0%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0"/>
      <color indexed="48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50"/>
      <name val="Arial"/>
      <family val="2"/>
    </font>
    <font>
      <sz val="10"/>
      <color indexed="8"/>
      <name val="Arial"/>
      <family val="2"/>
    </font>
    <font>
      <sz val="12"/>
      <color indexed="5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u/>
      <sz val="12"/>
      <color indexed="8"/>
      <name val="Arial"/>
      <family val="2"/>
    </font>
    <font>
      <sz val="10"/>
      <color indexed="10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i/>
      <sz val="12"/>
      <color indexed="8"/>
      <name val="Arial"/>
      <family val="2"/>
    </font>
    <font>
      <i/>
      <u/>
      <sz val="12"/>
      <color indexed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Symbol"/>
      <family val="1"/>
      <charset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i/>
      <u/>
      <sz val="12"/>
      <name val="Arial"/>
      <family val="2"/>
    </font>
    <font>
      <u val="singleAccounting"/>
      <sz val="12"/>
      <name val="Arial"/>
      <family val="2"/>
    </font>
    <font>
      <i/>
      <u/>
      <sz val="12"/>
      <name val="Arial"/>
      <family val="2"/>
    </font>
    <font>
      <u val="singleAccounting"/>
      <sz val="12"/>
      <color indexed="8"/>
      <name val="Arial"/>
      <family val="2"/>
    </font>
    <font>
      <i/>
      <sz val="12"/>
      <color indexed="10"/>
      <name val="Arial"/>
      <family val="2"/>
    </font>
    <font>
      <u/>
      <sz val="12"/>
      <color indexed="10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sz val="11"/>
      <color indexed="8"/>
      <name val="Calibri"/>
      <family val="2"/>
    </font>
    <font>
      <b/>
      <sz val="12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41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6" fontId="7" fillId="2" borderId="0" xfId="0" applyNumberFormat="1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8" fillId="2" borderId="0" xfId="0" applyFont="1" applyFill="1" applyBorder="1"/>
    <xf numFmtId="0" fontId="0" fillId="0" borderId="0" xfId="0" applyFill="1" applyBorder="1"/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0" fontId="8" fillId="3" borderId="0" xfId="0" applyFont="1" applyFill="1" applyBorder="1"/>
    <xf numFmtId="0" fontId="10" fillId="3" borderId="0" xfId="0" applyFont="1" applyFill="1" applyBorder="1"/>
    <xf numFmtId="0" fontId="10" fillId="3" borderId="5" xfId="0" applyFont="1" applyFill="1" applyBorder="1"/>
    <xf numFmtId="0" fontId="8" fillId="3" borderId="5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10" fillId="0" borderId="0" xfId="0" applyFont="1"/>
    <xf numFmtId="38" fontId="7" fillId="2" borderId="0" xfId="0" applyNumberFormat="1" applyFont="1" applyFill="1" applyBorder="1"/>
    <xf numFmtId="0" fontId="8" fillId="2" borderId="7" xfId="0" applyFont="1" applyFill="1" applyBorder="1"/>
    <xf numFmtId="9" fontId="7" fillId="2" borderId="0" xfId="0" applyNumberFormat="1" applyFont="1" applyFill="1" applyBorder="1"/>
    <xf numFmtId="0" fontId="10" fillId="0" borderId="0" xfId="0" applyFont="1" applyFill="1" applyBorder="1"/>
    <xf numFmtId="0" fontId="8" fillId="0" borderId="0" xfId="0" applyFont="1" applyFill="1" applyBorder="1"/>
    <xf numFmtId="164" fontId="8" fillId="3" borderId="0" xfId="0" applyNumberFormat="1" applyFont="1" applyFill="1" applyBorder="1"/>
    <xf numFmtId="164" fontId="11" fillId="3" borderId="0" xfId="0" applyNumberFormat="1" applyFont="1" applyFill="1" applyBorder="1"/>
    <xf numFmtId="8" fontId="8" fillId="3" borderId="0" xfId="0" applyNumberFormat="1" applyFont="1" applyFill="1" applyBorder="1"/>
    <xf numFmtId="8" fontId="8" fillId="0" borderId="0" xfId="0" applyNumberFormat="1" applyFont="1" applyFill="1" applyBorder="1"/>
    <xf numFmtId="6" fontId="8" fillId="0" borderId="0" xfId="0" applyNumberFormat="1" applyFont="1" applyFill="1" applyBorder="1"/>
    <xf numFmtId="165" fontId="11" fillId="0" borderId="0" xfId="0" applyNumberFormat="1" applyFont="1" applyFill="1" applyBorder="1"/>
    <xf numFmtId="0" fontId="9" fillId="0" borderId="0" xfId="0" applyFont="1" applyFill="1" applyBorder="1"/>
    <xf numFmtId="6" fontId="8" fillId="3" borderId="7" xfId="0" applyNumberFormat="1" applyFont="1" applyFill="1" applyBorder="1"/>
    <xf numFmtId="164" fontId="6" fillId="2" borderId="5" xfId="0" applyNumberFormat="1" applyFont="1" applyFill="1" applyBorder="1"/>
    <xf numFmtId="0" fontId="0" fillId="2" borderId="5" xfId="0" applyFill="1" applyBorder="1"/>
    <xf numFmtId="0" fontId="5" fillId="2" borderId="8" xfId="0" applyFont="1" applyFill="1" applyBorder="1"/>
    <xf numFmtId="8" fontId="8" fillId="3" borderId="8" xfId="0" applyNumberFormat="1" applyFont="1" applyFill="1" applyBorder="1"/>
    <xf numFmtId="0" fontId="0" fillId="0" borderId="0" xfId="0" applyBorder="1"/>
    <xf numFmtId="0" fontId="5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/>
    <xf numFmtId="0" fontId="5" fillId="0" borderId="0" xfId="0" applyFont="1" applyFill="1" applyBorder="1"/>
    <xf numFmtId="165" fontId="8" fillId="0" borderId="0" xfId="0" applyNumberFormat="1" applyFont="1" applyFill="1" applyBorder="1"/>
    <xf numFmtId="164" fontId="11" fillId="0" borderId="0" xfId="0" applyNumberFormat="1" applyFont="1" applyFill="1" applyBorder="1"/>
    <xf numFmtId="165" fontId="8" fillId="3" borderId="7" xfId="0" applyNumberFormat="1" applyFont="1" applyFill="1" applyBorder="1"/>
    <xf numFmtId="0" fontId="8" fillId="3" borderId="8" xfId="0" applyFont="1" applyFill="1" applyBorder="1"/>
    <xf numFmtId="1" fontId="8" fillId="3" borderId="0" xfId="0" applyNumberFormat="1" applyFont="1" applyFill="1" applyBorder="1"/>
    <xf numFmtId="0" fontId="8" fillId="3" borderId="7" xfId="0" applyFont="1" applyFill="1" applyBorder="1"/>
    <xf numFmtId="6" fontId="11" fillId="3" borderId="0" xfId="0" applyNumberFormat="1" applyFont="1" applyFill="1" applyBorder="1"/>
    <xf numFmtId="8" fontId="8" fillId="3" borderId="7" xfId="0" applyNumberFormat="1" applyFont="1" applyFill="1" applyBorder="1"/>
    <xf numFmtId="0" fontId="0" fillId="3" borderId="0" xfId="0" applyFill="1" applyBorder="1"/>
    <xf numFmtId="10" fontId="0" fillId="0" borderId="0" xfId="0" applyNumberFormat="1"/>
    <xf numFmtId="2" fontId="0" fillId="0" borderId="0" xfId="0" applyNumberFormat="1"/>
    <xf numFmtId="1" fontId="7" fillId="2" borderId="0" xfId="0" applyNumberFormat="1" applyFont="1" applyFill="1" applyBorder="1"/>
    <xf numFmtId="6" fontId="8" fillId="3" borderId="0" xfId="0" applyNumberFormat="1" applyFont="1" applyFill="1" applyBorder="1" applyAlignment="1">
      <alignment horizontal="right"/>
    </xf>
    <xf numFmtId="1" fontId="7" fillId="2" borderId="7" xfId="0" applyNumberFormat="1" applyFont="1" applyFill="1" applyBorder="1"/>
    <xf numFmtId="8" fontId="8" fillId="3" borderId="0" xfId="0" applyNumberFormat="1" applyFont="1" applyFill="1" applyBorder="1" applyAlignment="1">
      <alignment horizontal="right"/>
    </xf>
    <xf numFmtId="6" fontId="8" fillId="3" borderId="7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0" fillId="2" borderId="7" xfId="0" applyFill="1" applyBorder="1"/>
    <xf numFmtId="0" fontId="5" fillId="3" borderId="0" xfId="0" applyFont="1" applyFill="1" applyBorder="1"/>
    <xf numFmtId="164" fontId="8" fillId="3" borderId="7" xfId="0" applyNumberFormat="1" applyFont="1" applyFill="1" applyBorder="1"/>
    <xf numFmtId="0" fontId="8" fillId="3" borderId="1" xfId="0" applyFont="1" applyFill="1" applyBorder="1"/>
    <xf numFmtId="0" fontId="8" fillId="3" borderId="2" xfId="0" applyFont="1" applyFill="1" applyBorder="1"/>
    <xf numFmtId="0" fontId="8" fillId="3" borderId="4" xfId="0" applyFont="1" applyFill="1" applyBorder="1"/>
    <xf numFmtId="0" fontId="8" fillId="3" borderId="6" xfId="0" applyFont="1" applyFill="1" applyBorder="1"/>
    <xf numFmtId="0" fontId="5" fillId="3" borderId="3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8" fillId="3" borderId="0" xfId="0" applyFont="1" applyFill="1" applyBorder="1" applyAlignment="1">
      <alignment horizontal="center"/>
    </xf>
    <xf numFmtId="164" fontId="11" fillId="3" borderId="0" xfId="0" applyNumberFormat="1" applyFont="1" applyFill="1" applyBorder="1" applyAlignment="1">
      <alignment horizontal="center"/>
    </xf>
    <xf numFmtId="42" fontId="8" fillId="3" borderId="0" xfId="0" applyNumberFormat="1" applyFont="1" applyFill="1" applyBorder="1"/>
    <xf numFmtId="42" fontId="13" fillId="3" borderId="0" xfId="0" applyNumberFormat="1" applyFont="1" applyFill="1" applyBorder="1"/>
    <xf numFmtId="41" fontId="13" fillId="3" borderId="0" xfId="0" applyNumberFormat="1" applyFont="1" applyFill="1" applyBorder="1"/>
    <xf numFmtId="42" fontId="12" fillId="3" borderId="9" xfId="0" applyNumberFormat="1" applyFont="1" applyFill="1" applyBorder="1"/>
    <xf numFmtId="41" fontId="13" fillId="3" borderId="10" xfId="0" applyNumberFormat="1" applyFont="1" applyFill="1" applyBorder="1"/>
    <xf numFmtId="9" fontId="14" fillId="2" borderId="0" xfId="0" applyNumberFormat="1" applyFont="1" applyFill="1" applyBorder="1"/>
    <xf numFmtId="42" fontId="14" fillId="2" borderId="0" xfId="0" applyNumberFormat="1" applyFont="1" applyFill="1" applyBorder="1"/>
    <xf numFmtId="164" fontId="14" fillId="2" borderId="0" xfId="0" applyNumberFormat="1" applyFont="1" applyFill="1" applyBorder="1"/>
    <xf numFmtId="44" fontId="13" fillId="3" borderId="0" xfId="0" applyNumberFormat="1" applyFont="1" applyFill="1" applyBorder="1"/>
    <xf numFmtId="44" fontId="12" fillId="3" borderId="0" xfId="0" applyNumberFormat="1" applyFont="1" applyFill="1" applyBorder="1"/>
    <xf numFmtId="0" fontId="15" fillId="3" borderId="0" xfId="0" applyFont="1" applyFill="1" applyBorder="1" applyAlignment="1">
      <alignment horizontal="right"/>
    </xf>
    <xf numFmtId="164" fontId="15" fillId="3" borderId="0" xfId="0" applyNumberFormat="1" applyFont="1" applyFill="1" applyBorder="1" applyAlignment="1">
      <alignment horizontal="right"/>
    </xf>
    <xf numFmtId="41" fontId="14" fillId="2" borderId="0" xfId="0" applyNumberFormat="1" applyFont="1" applyFill="1" applyBorder="1"/>
    <xf numFmtId="9" fontId="14" fillId="2" borderId="0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167" fontId="14" fillId="2" borderId="0" xfId="0" applyNumberFormat="1" applyFont="1" applyFill="1" applyBorder="1"/>
    <xf numFmtId="44" fontId="16" fillId="3" borderId="0" xfId="0" applyNumberFormat="1" applyFont="1" applyFill="1" applyBorder="1"/>
    <xf numFmtId="1" fontId="14" fillId="2" borderId="0" xfId="0" applyNumberFormat="1" applyFont="1" applyFill="1" applyBorder="1"/>
    <xf numFmtId="42" fontId="13" fillId="3" borderId="0" xfId="0" applyNumberFormat="1" applyFont="1" applyFill="1" applyBorder="1" applyAlignment="1">
      <alignment horizontal="right"/>
    </xf>
    <xf numFmtId="0" fontId="10" fillId="4" borderId="0" xfId="0" applyFont="1" applyFill="1" applyBorder="1"/>
    <xf numFmtId="0" fontId="10" fillId="4" borderId="0" xfId="0" applyFont="1" applyFill="1"/>
    <xf numFmtId="0" fontId="0" fillId="4" borderId="0" xfId="0" applyFill="1"/>
    <xf numFmtId="2" fontId="17" fillId="4" borderId="0" xfId="0" applyNumberFormat="1" applyFont="1" applyFill="1" applyBorder="1" applyAlignment="1"/>
    <xf numFmtId="0" fontId="18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20" fillId="4" borderId="0" xfId="0" applyFont="1" applyFill="1" applyBorder="1"/>
    <xf numFmtId="0" fontId="21" fillId="4" borderId="0" xfId="0" applyFont="1" applyFill="1" applyBorder="1"/>
    <xf numFmtId="0" fontId="22" fillId="4" borderId="0" xfId="0" applyFont="1" applyFill="1" applyBorder="1"/>
    <xf numFmtId="0" fontId="23" fillId="4" borderId="0" xfId="0" applyFont="1" applyFill="1" applyBorder="1"/>
    <xf numFmtId="0" fontId="12" fillId="4" borderId="0" xfId="0" applyFont="1" applyFill="1" applyBorder="1"/>
    <xf numFmtId="0" fontId="0" fillId="4" borderId="0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3" borderId="4" xfId="0" applyFont="1" applyFill="1" applyBorder="1"/>
    <xf numFmtId="168" fontId="13" fillId="3" borderId="0" xfId="2" applyNumberFormat="1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42" fontId="13" fillId="3" borderId="11" xfId="0" applyNumberFormat="1" applyFont="1" applyFill="1" applyBorder="1"/>
    <xf numFmtId="42" fontId="13" fillId="2" borderId="0" xfId="0" applyNumberFormat="1" applyFont="1" applyFill="1" applyBorder="1"/>
    <xf numFmtId="9" fontId="13" fillId="2" borderId="0" xfId="0" applyNumberFormat="1" applyFont="1" applyFill="1" applyBorder="1" applyAlignment="1">
      <alignment horizontal="right"/>
    </xf>
    <xf numFmtId="41" fontId="13" fillId="2" borderId="0" xfId="0" applyNumberFormat="1" applyFont="1" applyFill="1" applyBorder="1"/>
    <xf numFmtId="44" fontId="12" fillId="3" borderId="9" xfId="0" applyNumberFormat="1" applyFont="1" applyFill="1" applyBorder="1"/>
    <xf numFmtId="9" fontId="13" fillId="2" borderId="0" xfId="0" applyNumberFormat="1" applyFont="1" applyFill="1" applyBorder="1"/>
    <xf numFmtId="164" fontId="13" fillId="2" borderId="0" xfId="0" applyNumberFormat="1" applyFont="1" applyFill="1" applyBorder="1"/>
    <xf numFmtId="0" fontId="8" fillId="3" borderId="0" xfId="0" applyFont="1" applyFill="1" applyBorder="1" applyAlignment="1">
      <alignment horizontal="right"/>
    </xf>
    <xf numFmtId="42" fontId="5" fillId="3" borderId="0" xfId="0" applyNumberFormat="1" applyFont="1" applyFill="1" applyBorder="1" applyAlignment="1">
      <alignment horizontal="right"/>
    </xf>
    <xf numFmtId="10" fontId="12" fillId="3" borderId="9" xfId="0" applyNumberFormat="1" applyFont="1" applyFill="1" applyBorder="1"/>
    <xf numFmtId="6" fontId="15" fillId="3" borderId="0" xfId="0" applyNumberFormat="1" applyFont="1" applyFill="1" applyBorder="1" applyAlignment="1">
      <alignment horizontal="right"/>
    </xf>
    <xf numFmtId="0" fontId="13" fillId="3" borderId="0" xfId="0" applyFont="1" applyFill="1" applyBorder="1"/>
    <xf numFmtId="44" fontId="12" fillId="3" borderId="9" xfId="0" applyNumberFormat="1" applyFont="1" applyFill="1" applyBorder="1" applyAlignment="1">
      <alignment horizontal="right"/>
    </xf>
    <xf numFmtId="41" fontId="13" fillId="3" borderId="0" xfId="0" applyNumberFormat="1" applyFont="1" applyFill="1" applyBorder="1" applyAlignment="1">
      <alignment horizontal="right"/>
    </xf>
    <xf numFmtId="1" fontId="13" fillId="2" borderId="0" xfId="0" applyNumberFormat="1" applyFont="1" applyFill="1" applyBorder="1"/>
    <xf numFmtId="44" fontId="13" fillId="3" borderId="0" xfId="0" applyNumberFormat="1" applyFont="1" applyFill="1" applyBorder="1" applyAlignment="1">
      <alignment horizontal="right"/>
    </xf>
    <xf numFmtId="8" fontId="13" fillId="3" borderId="0" xfId="0" applyNumberFormat="1" applyFont="1" applyFill="1" applyBorder="1" applyAlignment="1">
      <alignment horizontal="right"/>
    </xf>
    <xf numFmtId="8" fontId="13" fillId="3" borderId="0" xfId="0" applyNumberFormat="1" applyFont="1" applyFill="1" applyBorder="1" applyAlignment="1">
      <alignment horizontal="center"/>
    </xf>
    <xf numFmtId="38" fontId="14" fillId="2" borderId="0" xfId="0" applyNumberFormat="1" applyFont="1" applyFill="1" applyBorder="1"/>
    <xf numFmtId="6" fontId="14" fillId="2" borderId="0" xfId="0" applyNumberFormat="1" applyFont="1" applyFill="1" applyBorder="1"/>
    <xf numFmtId="165" fontId="14" fillId="2" borderId="0" xfId="0" applyNumberFormat="1" applyFont="1" applyFill="1" applyBorder="1"/>
    <xf numFmtId="44" fontId="8" fillId="3" borderId="0" xfId="0" applyNumberFormat="1" applyFont="1" applyFill="1" applyBorder="1" applyAlignment="1">
      <alignment horizontal="right"/>
    </xf>
    <xf numFmtId="8" fontId="15" fillId="3" borderId="0" xfId="0" applyNumberFormat="1" applyFont="1" applyFill="1" applyBorder="1" applyAlignment="1">
      <alignment horizontal="right"/>
    </xf>
    <xf numFmtId="44" fontId="13" fillId="2" borderId="0" xfId="0" applyNumberFormat="1" applyFont="1" applyFill="1" applyBorder="1"/>
    <xf numFmtId="38" fontId="13" fillId="2" borderId="0" xfId="0" applyNumberFormat="1" applyFont="1" applyFill="1" applyBorder="1"/>
    <xf numFmtId="6" fontId="13" fillId="2" borderId="0" xfId="0" applyNumberFormat="1" applyFont="1" applyFill="1" applyBorder="1"/>
    <xf numFmtId="9" fontId="14" fillId="2" borderId="0" xfId="3" applyFont="1" applyFill="1" applyBorder="1"/>
    <xf numFmtId="170" fontId="14" fillId="2" borderId="0" xfId="0" applyNumberFormat="1" applyFont="1" applyFill="1" applyBorder="1"/>
    <xf numFmtId="10" fontId="14" fillId="2" borderId="0" xfId="3" applyNumberFormat="1" applyFont="1" applyFill="1" applyBorder="1"/>
    <xf numFmtId="0" fontId="8" fillId="3" borderId="3" xfId="0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25" fillId="3" borderId="0" xfId="0" applyFont="1" applyFill="1" applyBorder="1"/>
    <xf numFmtId="42" fontId="13" fillId="3" borderId="11" xfId="0" applyNumberFormat="1" applyFont="1" applyFill="1" applyBorder="1" applyAlignment="1">
      <alignment horizontal="right"/>
    </xf>
    <xf numFmtId="168" fontId="13" fillId="3" borderId="11" xfId="0" applyNumberFormat="1" applyFont="1" applyFill="1" applyBorder="1" applyAlignment="1">
      <alignment horizontal="right"/>
    </xf>
    <xf numFmtId="44" fontId="12" fillId="3" borderId="0" xfId="0" applyNumberFormat="1" applyFont="1" applyFill="1" applyBorder="1" applyAlignment="1">
      <alignment horizontal="right"/>
    </xf>
    <xf numFmtId="10" fontId="12" fillId="3" borderId="9" xfId="3" applyNumberFormat="1" applyFont="1" applyFill="1" applyBorder="1" applyAlignment="1">
      <alignment horizontal="right"/>
    </xf>
    <xf numFmtId="171" fontId="12" fillId="3" borderId="9" xfId="0" applyNumberFormat="1" applyFont="1" applyFill="1" applyBorder="1" applyAlignment="1">
      <alignment horizontal="right"/>
    </xf>
    <xf numFmtId="0" fontId="26" fillId="2" borderId="0" xfId="0" applyFont="1" applyFill="1" applyBorder="1"/>
    <xf numFmtId="44" fontId="27" fillId="2" borderId="0" xfId="2" applyFont="1" applyFill="1" applyBorder="1"/>
    <xf numFmtId="0" fontId="24" fillId="3" borderId="4" xfId="0" applyFont="1" applyFill="1" applyBorder="1"/>
    <xf numFmtId="44" fontId="13" fillId="3" borderId="0" xfId="2" applyFont="1" applyFill="1" applyBorder="1" applyAlignment="1">
      <alignment horizontal="right"/>
    </xf>
    <xf numFmtId="169" fontId="12" fillId="3" borderId="9" xfId="0" applyNumberFormat="1" applyFont="1" applyFill="1" applyBorder="1" applyAlignment="1">
      <alignment horizontal="right"/>
    </xf>
    <xf numFmtId="44" fontId="28" fillId="3" borderId="0" xfId="0" applyNumberFormat="1" applyFont="1" applyFill="1" applyBorder="1" applyAlignment="1">
      <alignment horizontal="right"/>
    </xf>
    <xf numFmtId="44" fontId="12" fillId="3" borderId="9" xfId="2" applyFont="1" applyFill="1" applyBorder="1" applyAlignment="1">
      <alignment horizontal="right"/>
    </xf>
    <xf numFmtId="172" fontId="12" fillId="3" borderId="9" xfId="0" applyNumberFormat="1" applyFont="1" applyFill="1" applyBorder="1"/>
    <xf numFmtId="3" fontId="14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168" fontId="14" fillId="2" borderId="0" xfId="2" applyNumberFormat="1" applyFont="1" applyFill="1" applyBorder="1"/>
    <xf numFmtId="41" fontId="14" fillId="2" borderId="0" xfId="2" applyNumberFormat="1" applyFont="1" applyFill="1" applyBorder="1"/>
    <xf numFmtId="0" fontId="7" fillId="2" borderId="7" xfId="0" applyFont="1" applyFill="1" applyBorder="1"/>
    <xf numFmtId="0" fontId="11" fillId="3" borderId="2" xfId="0" applyFont="1" applyFill="1" applyBorder="1"/>
    <xf numFmtId="0" fontId="0" fillId="3" borderId="3" xfId="0" applyFill="1" applyBorder="1"/>
    <xf numFmtId="0" fontId="0" fillId="3" borderId="5" xfId="0" applyFill="1" applyBorder="1"/>
    <xf numFmtId="0" fontId="4" fillId="3" borderId="4" xfId="0" applyFont="1" applyFill="1" applyBorder="1"/>
    <xf numFmtId="0" fontId="4" fillId="3" borderId="0" xfId="0" applyFont="1" applyFill="1" applyBorder="1"/>
    <xf numFmtId="0" fontId="5" fillId="3" borderId="0" xfId="0" applyFont="1" applyFill="1" applyBorder="1" applyAlignment="1">
      <alignment horizontal="center"/>
    </xf>
    <xf numFmtId="168" fontId="13" fillId="3" borderId="0" xfId="0" applyNumberFormat="1" applyFont="1" applyFill="1" applyBorder="1"/>
    <xf numFmtId="42" fontId="13" fillId="3" borderId="10" xfId="0" applyNumberFormat="1" applyFont="1" applyFill="1" applyBorder="1"/>
    <xf numFmtId="168" fontId="13" fillId="3" borderId="11" xfId="1" applyNumberFormat="1" applyFont="1" applyFill="1" applyBorder="1"/>
    <xf numFmtId="0" fontId="13" fillId="3" borderId="11" xfId="0" applyFont="1" applyFill="1" applyBorder="1"/>
    <xf numFmtId="44" fontId="11" fillId="3" borderId="0" xfId="2" applyFont="1" applyFill="1" applyBorder="1"/>
    <xf numFmtId="44" fontId="13" fillId="3" borderId="0" xfId="1" applyNumberFormat="1" applyFont="1" applyFill="1" applyBorder="1"/>
    <xf numFmtId="44" fontId="12" fillId="3" borderId="9" xfId="1" applyNumberFormat="1" applyFont="1" applyFill="1" applyBorder="1"/>
    <xf numFmtId="43" fontId="11" fillId="3" borderId="0" xfId="1" applyFont="1" applyFill="1" applyBorder="1"/>
    <xf numFmtId="168" fontId="11" fillId="3" borderId="0" xfId="0" applyNumberFormat="1" applyFont="1" applyFill="1" applyBorder="1"/>
    <xf numFmtId="42" fontId="13" fillId="3" borderId="11" xfId="1" applyNumberFormat="1" applyFont="1" applyFill="1" applyBorder="1"/>
    <xf numFmtId="8" fontId="13" fillId="3" borderId="11" xfId="1" applyNumberFormat="1" applyFont="1" applyFill="1" applyBorder="1"/>
    <xf numFmtId="6" fontId="13" fillId="3" borderId="11" xfId="1" applyNumberFormat="1" applyFont="1" applyFill="1" applyBorder="1"/>
    <xf numFmtId="8" fontId="11" fillId="3" borderId="0" xfId="1" applyNumberFormat="1" applyFont="1" applyFill="1" applyBorder="1"/>
    <xf numFmtId="42" fontId="13" fillId="3" borderId="0" xfId="1" applyNumberFormat="1" applyFont="1" applyFill="1" applyBorder="1"/>
    <xf numFmtId="6" fontId="13" fillId="3" borderId="0" xfId="0" applyNumberFormat="1" applyFont="1" applyFill="1" applyBorder="1"/>
    <xf numFmtId="0" fontId="11" fillId="3" borderId="7" xfId="0" applyFont="1" applyFill="1" applyBorder="1"/>
    <xf numFmtId="0" fontId="0" fillId="3" borderId="8" xfId="0" applyFill="1" applyBorder="1"/>
    <xf numFmtId="0" fontId="26" fillId="0" borderId="0" xfId="0" applyFont="1"/>
    <xf numFmtId="0" fontId="30" fillId="3" borderId="4" xfId="0" applyFont="1" applyFill="1" applyBorder="1"/>
    <xf numFmtId="0" fontId="30" fillId="3" borderId="0" xfId="0" applyFont="1" applyFill="1" applyBorder="1"/>
    <xf numFmtId="0" fontId="30" fillId="3" borderId="0" xfId="0" applyFont="1" applyFill="1" applyBorder="1" applyAlignment="1">
      <alignment horizontal="right"/>
    </xf>
    <xf numFmtId="0" fontId="30" fillId="3" borderId="5" xfId="0" applyFont="1" applyFill="1" applyBorder="1"/>
    <xf numFmtId="44" fontId="31" fillId="3" borderId="0" xfId="0" applyNumberFormat="1" applyFont="1" applyFill="1" applyBorder="1" applyAlignment="1">
      <alignment horizontal="right"/>
    </xf>
    <xf numFmtId="42" fontId="31" fillId="3" borderId="0" xfId="0" applyNumberFormat="1" applyFont="1" applyFill="1" applyBorder="1"/>
    <xf numFmtId="44" fontId="31" fillId="3" borderId="0" xfId="0" applyNumberFormat="1" applyFont="1" applyFill="1" applyBorder="1"/>
    <xf numFmtId="0" fontId="30" fillId="3" borderId="0" xfId="0" quotePrefix="1" applyFont="1" applyFill="1" applyBorder="1"/>
    <xf numFmtId="41" fontId="31" fillId="3" borderId="0" xfId="0" applyNumberFormat="1" applyFont="1" applyFill="1" applyBorder="1"/>
    <xf numFmtId="41" fontId="31" fillId="3" borderId="10" xfId="0" applyNumberFormat="1" applyFont="1" applyFill="1" applyBorder="1"/>
    <xf numFmtId="169" fontId="31" fillId="3" borderId="10" xfId="0" applyNumberFormat="1" applyFont="1" applyFill="1" applyBorder="1"/>
    <xf numFmtId="0" fontId="0" fillId="3" borderId="0" xfId="0" applyFill="1"/>
    <xf numFmtId="43" fontId="31" fillId="3" borderId="0" xfId="0" applyNumberFormat="1" applyFont="1" applyFill="1" applyBorder="1"/>
    <xf numFmtId="0" fontId="31" fillId="3" borderId="0" xfId="0" applyFont="1" applyFill="1" applyBorder="1"/>
    <xf numFmtId="0" fontId="26" fillId="3" borderId="5" xfId="0" applyFont="1" applyFill="1" applyBorder="1"/>
    <xf numFmtId="0" fontId="0" fillId="3" borderId="2" xfId="0" applyFill="1" applyBorder="1"/>
    <xf numFmtId="0" fontId="26" fillId="3" borderId="0" xfId="0" applyFont="1" applyFill="1" applyBorder="1" applyAlignment="1">
      <alignment horizontal="right"/>
    </xf>
    <xf numFmtId="0" fontId="26" fillId="3" borderId="0" xfId="0" applyFont="1" applyFill="1" applyBorder="1"/>
    <xf numFmtId="0" fontId="32" fillId="3" borderId="0" xfId="2" applyNumberFormat="1" applyFont="1" applyFill="1" applyBorder="1" applyAlignment="1">
      <alignment horizontal="center"/>
    </xf>
    <xf numFmtId="0" fontId="32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right"/>
    </xf>
    <xf numFmtId="169" fontId="13" fillId="3" borderId="10" xfId="0" applyNumberFormat="1" applyFont="1" applyFill="1" applyBorder="1" applyAlignment="1">
      <alignment horizontal="right"/>
    </xf>
    <xf numFmtId="172" fontId="13" fillId="3" borderId="0" xfId="0" applyNumberFormat="1" applyFont="1" applyFill="1" applyBorder="1"/>
    <xf numFmtId="172" fontId="13" fillId="2" borderId="0" xfId="0" applyNumberFormat="1" applyFont="1" applyFill="1" applyBorder="1"/>
    <xf numFmtId="0" fontId="8" fillId="3" borderId="0" xfId="0" applyFont="1" applyFill="1" applyBorder="1" applyAlignment="1">
      <alignment horizontal="left"/>
    </xf>
    <xf numFmtId="41" fontId="13" fillId="3" borderId="10" xfId="0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42" fontId="33" fillId="2" borderId="0" xfId="0" applyNumberFormat="1" applyFont="1" applyFill="1" applyBorder="1" applyAlignment="1">
      <alignment horizontal="center"/>
    </xf>
    <xf numFmtId="42" fontId="14" fillId="2" borderId="0" xfId="0" applyNumberFormat="1" applyFont="1" applyFill="1" applyBorder="1" applyAlignment="1">
      <alignment horizontal="center"/>
    </xf>
    <xf numFmtId="43" fontId="14" fillId="2" borderId="0" xfId="0" applyNumberFormat="1" applyFont="1" applyFill="1" applyBorder="1"/>
    <xf numFmtId="41" fontId="13" fillId="3" borderId="0" xfId="0" applyNumberFormat="1" applyFont="1" applyFill="1" applyBorder="1" applyAlignment="1">
      <alignment horizontal="left"/>
    </xf>
    <xf numFmtId="43" fontId="13" fillId="3" borderId="0" xfId="0" applyNumberFormat="1" applyFont="1" applyFill="1" applyBorder="1"/>
    <xf numFmtId="172" fontId="12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166" fontId="14" fillId="2" borderId="0" xfId="0" applyNumberFormat="1" applyFont="1" applyFill="1" applyBorder="1"/>
    <xf numFmtId="165" fontId="8" fillId="3" borderId="0" xfId="0" applyNumberFormat="1" applyFont="1" applyFill="1" applyBorder="1"/>
    <xf numFmtId="165" fontId="11" fillId="3" borderId="7" xfId="0" applyNumberFormat="1" applyFont="1" applyFill="1" applyBorder="1"/>
    <xf numFmtId="0" fontId="9" fillId="3" borderId="8" xfId="0" applyFont="1" applyFill="1" applyBorder="1"/>
    <xf numFmtId="42" fontId="32" fillId="3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4" fillId="2" borderId="2" xfId="0" applyFont="1" applyFill="1" applyBorder="1"/>
    <xf numFmtId="0" fontId="11" fillId="0" borderId="0" xfId="0" applyFont="1"/>
    <xf numFmtId="42" fontId="14" fillId="2" borderId="0" xfId="1" applyNumberFormat="1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3" borderId="2" xfId="0" applyFont="1" applyFill="1" applyBorder="1"/>
    <xf numFmtId="0" fontId="7" fillId="3" borderId="0" xfId="0" applyFont="1" applyFill="1" applyBorder="1"/>
    <xf numFmtId="10" fontId="13" fillId="3" borderId="0" xfId="3" applyNumberFormat="1" applyFont="1" applyFill="1" applyBorder="1"/>
    <xf numFmtId="10" fontId="12" fillId="3" borderId="0" xfId="0" applyNumberFormat="1" applyFont="1" applyFill="1" applyBorder="1"/>
    <xf numFmtId="41" fontId="0" fillId="0" borderId="0" xfId="0" applyNumberFormat="1"/>
    <xf numFmtId="41" fontId="6" fillId="2" borderId="4" xfId="0" applyNumberFormat="1" applyFont="1" applyFill="1" applyBorder="1"/>
    <xf numFmtId="41" fontId="6" fillId="2" borderId="5" xfId="0" applyNumberFormat="1" applyFont="1" applyFill="1" applyBorder="1"/>
    <xf numFmtId="0" fontId="8" fillId="2" borderId="0" xfId="0" applyNumberFormat="1" applyFont="1" applyFill="1" applyBorder="1"/>
    <xf numFmtId="44" fontId="14" fillId="2" borderId="0" xfId="3" applyNumberFormat="1" applyFont="1" applyFill="1" applyBorder="1"/>
    <xf numFmtId="44" fontId="14" fillId="2" borderId="0" xfId="0" applyNumberFormat="1" applyFont="1" applyFill="1" applyBorder="1"/>
    <xf numFmtId="42" fontId="31" fillId="3" borderId="0" xfId="0" applyNumberFormat="1" applyFont="1" applyFill="1" applyBorder="1" applyAlignment="1">
      <alignment horizontal="right"/>
    </xf>
    <xf numFmtId="168" fontId="14" fillId="2" borderId="0" xfId="3" applyNumberFormat="1" applyFont="1" applyFill="1" applyBorder="1"/>
    <xf numFmtId="168" fontId="14" fillId="2" borderId="0" xfId="0" applyNumberFormat="1" applyFont="1" applyFill="1" applyBorder="1"/>
    <xf numFmtId="42" fontId="14" fillId="2" borderId="0" xfId="3" applyNumberFormat="1" applyFont="1" applyFill="1" applyBorder="1"/>
    <xf numFmtId="0" fontId="24" fillId="3" borderId="0" xfId="0" applyFont="1" applyFill="1" applyBorder="1"/>
    <xf numFmtId="0" fontId="25" fillId="3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1" fillId="3" borderId="10" xfId="0" applyFont="1" applyFill="1" applyBorder="1"/>
    <xf numFmtId="42" fontId="31" fillId="3" borderId="10" xfId="0" applyNumberFormat="1" applyFont="1" applyFill="1" applyBorder="1"/>
    <xf numFmtId="0" fontId="31" fillId="3" borderId="11" xfId="0" applyFont="1" applyFill="1" applyBorder="1"/>
    <xf numFmtId="168" fontId="31" fillId="3" borderId="0" xfId="0" applyNumberFormat="1" applyFont="1" applyFill="1" applyBorder="1"/>
    <xf numFmtId="168" fontId="31" fillId="3" borderId="11" xfId="0" applyNumberFormat="1" applyFont="1" applyFill="1" applyBorder="1"/>
    <xf numFmtId="0" fontId="24" fillId="2" borderId="0" xfId="0" applyFont="1" applyFill="1" applyBorder="1"/>
    <xf numFmtId="42" fontId="14" fillId="2" borderId="0" xfId="0" applyNumberFormat="1" applyFont="1" applyFill="1" applyBorder="1" applyAlignment="1">
      <alignment horizontal="right"/>
    </xf>
    <xf numFmtId="168" fontId="13" fillId="3" borderId="0" xfId="0" applyNumberFormat="1" applyFont="1" applyFill="1" applyBorder="1" applyAlignment="1">
      <alignment horizontal="right"/>
    </xf>
    <xf numFmtId="168" fontId="34" fillId="3" borderId="0" xfId="0" applyNumberFormat="1" applyFont="1" applyFill="1" applyBorder="1" applyAlignment="1">
      <alignment horizontal="center"/>
    </xf>
    <xf numFmtId="172" fontId="13" fillId="3" borderId="11" xfId="0" applyNumberFormat="1" applyFont="1" applyFill="1" applyBorder="1"/>
    <xf numFmtId="43" fontId="13" fillId="3" borderId="10" xfId="0" applyNumberFormat="1" applyFont="1" applyFill="1" applyBorder="1"/>
    <xf numFmtId="41" fontId="14" fillId="2" borderId="0" xfId="3" applyNumberFormat="1" applyFont="1" applyFill="1" applyBorder="1"/>
    <xf numFmtId="0" fontId="6" fillId="2" borderId="0" xfId="0" applyFont="1" applyFill="1" applyBorder="1"/>
    <xf numFmtId="41" fontId="14" fillId="2" borderId="0" xfId="0" applyNumberFormat="1" applyFont="1" applyFill="1" applyBorder="1" applyAlignment="1">
      <alignment horizontal="right"/>
    </xf>
    <xf numFmtId="43" fontId="13" fillId="3" borderId="10" xfId="0" applyNumberFormat="1" applyFont="1" applyFill="1" applyBorder="1" applyAlignment="1">
      <alignment horizontal="right"/>
    </xf>
    <xf numFmtId="43" fontId="13" fillId="3" borderId="0" xfId="0" applyNumberFormat="1" applyFont="1" applyFill="1" applyBorder="1" applyAlignment="1">
      <alignment horizontal="right"/>
    </xf>
    <xf numFmtId="44" fontId="10" fillId="3" borderId="0" xfId="0" applyNumberFormat="1" applyFont="1" applyFill="1" applyBorder="1"/>
    <xf numFmtId="168" fontId="13" fillId="3" borderId="11" xfId="0" applyNumberFormat="1" applyFont="1" applyFill="1" applyBorder="1"/>
    <xf numFmtId="169" fontId="13" fillId="3" borderId="0" xfId="0" applyNumberFormat="1" applyFont="1" applyFill="1" applyBorder="1"/>
    <xf numFmtId="44" fontId="5" fillId="3" borderId="0" xfId="0" applyNumberFormat="1" applyFont="1" applyFill="1" applyBorder="1"/>
    <xf numFmtId="0" fontId="24" fillId="3" borderId="0" xfId="0" quotePrefix="1" applyFont="1" applyFill="1" applyBorder="1"/>
    <xf numFmtId="172" fontId="14" fillId="2" borderId="0" xfId="0" applyNumberFormat="1" applyFont="1" applyFill="1" applyBorder="1"/>
    <xf numFmtId="41" fontId="26" fillId="0" borderId="0" xfId="0" applyNumberFormat="1" applyFont="1"/>
    <xf numFmtId="0" fontId="26" fillId="2" borderId="1" xfId="0" applyFont="1" applyFill="1" applyBorder="1"/>
    <xf numFmtId="0" fontId="26" fillId="2" borderId="2" xfId="0" applyFont="1" applyFill="1" applyBorder="1"/>
    <xf numFmtId="0" fontId="26" fillId="2" borderId="3" xfId="0" applyFont="1" applyFill="1" applyBorder="1"/>
    <xf numFmtId="0" fontId="26" fillId="2" borderId="4" xfId="0" applyFont="1" applyFill="1" applyBorder="1"/>
    <xf numFmtId="42" fontId="27" fillId="2" borderId="0" xfId="0" applyNumberFormat="1" applyFont="1" applyFill="1" applyBorder="1"/>
    <xf numFmtId="0" fontId="26" fillId="2" borderId="5" xfId="0" applyFont="1" applyFill="1" applyBorder="1"/>
    <xf numFmtId="41" fontId="27" fillId="2" borderId="0" xfId="0" applyNumberFormat="1" applyFont="1" applyFill="1" applyBorder="1"/>
    <xf numFmtId="41" fontId="26" fillId="2" borderId="5" xfId="0" applyNumberFormat="1" applyFont="1" applyFill="1" applyBorder="1"/>
    <xf numFmtId="9" fontId="27" fillId="2" borderId="0" xfId="3" applyFont="1" applyFill="1" applyBorder="1"/>
    <xf numFmtId="9" fontId="27" fillId="2" borderId="0" xfId="3" applyNumberFormat="1" applyFont="1" applyFill="1" applyBorder="1"/>
    <xf numFmtId="0" fontId="26" fillId="2" borderId="6" xfId="0" applyFont="1" applyFill="1" applyBorder="1"/>
    <xf numFmtId="0" fontId="26" fillId="2" borderId="7" xfId="0" applyFont="1" applyFill="1" applyBorder="1"/>
    <xf numFmtId="9" fontId="26" fillId="2" borderId="7" xfId="3" applyNumberFormat="1" applyFont="1" applyFill="1" applyBorder="1"/>
    <xf numFmtId="0" fontId="26" fillId="2" borderId="8" xfId="0" applyFont="1" applyFill="1" applyBorder="1"/>
    <xf numFmtId="42" fontId="27" fillId="2" borderId="0" xfId="3" applyNumberFormat="1" applyFont="1" applyFill="1" applyBorder="1"/>
    <xf numFmtId="0" fontId="26" fillId="3" borderId="1" xfId="0" applyFont="1" applyFill="1" applyBorder="1"/>
    <xf numFmtId="0" fontId="4" fillId="3" borderId="2" xfId="0" applyFont="1" applyFill="1" applyBorder="1"/>
    <xf numFmtId="0" fontId="26" fillId="3" borderId="2" xfId="0" applyFont="1" applyFill="1" applyBorder="1"/>
    <xf numFmtId="0" fontId="26" fillId="3" borderId="4" xfId="0" applyFont="1" applyFill="1" applyBorder="1"/>
    <xf numFmtId="0" fontId="35" fillId="3" borderId="0" xfId="0" applyFont="1" applyFill="1" applyBorder="1" applyAlignment="1">
      <alignment horizontal="center"/>
    </xf>
    <xf numFmtId="0" fontId="26" fillId="3" borderId="0" xfId="0" quotePrefix="1" applyFont="1" applyFill="1" applyBorder="1"/>
    <xf numFmtId="0" fontId="26" fillId="3" borderId="6" xfId="0" applyFont="1" applyFill="1" applyBorder="1"/>
    <xf numFmtId="0" fontId="26" fillId="3" borderId="7" xfId="0" applyFont="1" applyFill="1" applyBorder="1"/>
    <xf numFmtId="9" fontId="14" fillId="2" borderId="0" xfId="3" applyFont="1" applyFill="1" applyBorder="1" applyAlignment="1">
      <alignment horizontal="right"/>
    </xf>
    <xf numFmtId="172" fontId="14" fillId="2" borderId="0" xfId="3" applyNumberFormat="1" applyFont="1" applyFill="1" applyBorder="1"/>
    <xf numFmtId="41" fontId="7" fillId="2" borderId="0" xfId="0" applyNumberFormat="1" applyFont="1" applyFill="1" applyBorder="1"/>
    <xf numFmtId="41" fontId="6" fillId="2" borderId="0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41" fontId="0" fillId="2" borderId="0" xfId="0" applyNumberFormat="1" applyFill="1" applyBorder="1"/>
    <xf numFmtId="0" fontId="0" fillId="2" borderId="8" xfId="0" applyFill="1" applyBorder="1"/>
    <xf numFmtId="169" fontId="13" fillId="3" borderId="0" xfId="0" applyNumberFormat="1" applyFont="1" applyFill="1" applyBorder="1" applyAlignment="1">
      <alignment horizontal="right"/>
    </xf>
    <xf numFmtId="0" fontId="13" fillId="3" borderId="0" xfId="2" applyNumberFormat="1" applyFont="1" applyFill="1" applyBorder="1" applyAlignment="1">
      <alignment horizontal="center"/>
    </xf>
    <xf numFmtId="44" fontId="36" fillId="3" borderId="0" xfId="0" applyNumberFormat="1" applyFont="1" applyFill="1" applyBorder="1" applyAlignment="1">
      <alignment horizontal="right"/>
    </xf>
    <xf numFmtId="44" fontId="14" fillId="2" borderId="0" xfId="0" applyNumberFormat="1" applyFont="1" applyFill="1" applyBorder="1" applyAlignment="1">
      <alignment horizontal="right"/>
    </xf>
    <xf numFmtId="44" fontId="34" fillId="3" borderId="0" xfId="0" applyNumberFormat="1" applyFont="1" applyFill="1" applyBorder="1" applyAlignment="1">
      <alignment horizontal="right"/>
    </xf>
    <xf numFmtId="0" fontId="34" fillId="3" borderId="0" xfId="0" applyFont="1" applyFill="1" applyBorder="1" applyAlignment="1">
      <alignment horizontal="right"/>
    </xf>
    <xf numFmtId="8" fontId="12" fillId="3" borderId="0" xfId="0" applyNumberFormat="1" applyFont="1" applyFill="1" applyBorder="1" applyAlignment="1">
      <alignment horizontal="left"/>
    </xf>
    <xf numFmtId="0" fontId="24" fillId="3" borderId="0" xfId="0" applyFont="1" applyFill="1" applyBorder="1" applyAlignment="1">
      <alignment horizontal="right"/>
    </xf>
    <xf numFmtId="0" fontId="24" fillId="3" borderId="0" xfId="0" applyFont="1" applyFill="1" applyBorder="1" applyAlignment="1">
      <alignment horizontal="right" wrapText="1"/>
    </xf>
    <xf numFmtId="0" fontId="13" fillId="3" borderId="10" xfId="0" applyFont="1" applyFill="1" applyBorder="1"/>
    <xf numFmtId="0" fontId="37" fillId="3" borderId="0" xfId="0" applyFont="1" applyFill="1" applyBorder="1"/>
    <xf numFmtId="0" fontId="38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42" fontId="13" fillId="3" borderId="0" xfId="0" applyNumberFormat="1" applyFont="1" applyFill="1" applyBorder="1" applyAlignment="1">
      <alignment horizontal="center"/>
    </xf>
    <xf numFmtId="41" fontId="13" fillId="3" borderId="0" xfId="0" applyNumberFormat="1" applyFont="1" applyFill="1" applyBorder="1" applyAlignment="1">
      <alignment horizontal="center"/>
    </xf>
    <xf numFmtId="44" fontId="0" fillId="0" borderId="0" xfId="0" applyNumberFormat="1"/>
    <xf numFmtId="0" fontId="24" fillId="3" borderId="0" xfId="0" applyFont="1" applyFill="1" applyBorder="1" applyAlignment="1">
      <alignment horizontal="left"/>
    </xf>
    <xf numFmtId="173" fontId="24" fillId="3" borderId="0" xfId="2" applyNumberFormat="1" applyFont="1" applyFill="1" applyBorder="1"/>
    <xf numFmtId="173" fontId="24" fillId="3" borderId="0" xfId="0" applyNumberFormat="1" applyFont="1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174" fontId="14" fillId="2" borderId="0" xfId="3" applyNumberFormat="1" applyFont="1" applyFill="1" applyBorder="1"/>
    <xf numFmtId="0" fontId="39" fillId="4" borderId="0" xfId="0" applyFont="1" applyFill="1" applyBorder="1"/>
    <xf numFmtId="172" fontId="13" fillId="3" borderId="0" xfId="0" applyNumberFormat="1" applyFont="1" applyFill="1" applyBorder="1" applyAlignment="1">
      <alignment horizontal="right"/>
    </xf>
    <xf numFmtId="41" fontId="40" fillId="2" borderId="0" xfId="0" applyNumberFormat="1" applyFont="1" applyFill="1" applyBorder="1"/>
    <xf numFmtId="44" fontId="30" fillId="3" borderId="0" xfId="0" applyNumberFormat="1" applyFont="1" applyFill="1" applyBorder="1"/>
    <xf numFmtId="0" fontId="2" fillId="0" borderId="0" xfId="4"/>
    <xf numFmtId="0" fontId="3" fillId="0" borderId="0" xfId="4" applyFont="1"/>
    <xf numFmtId="0" fontId="5" fillId="0" borderId="0" xfId="4" applyFont="1"/>
    <xf numFmtId="0" fontId="4" fillId="0" borderId="0" xfId="4" applyFont="1"/>
    <xf numFmtId="0" fontId="6" fillId="2" borderId="1" xfId="4" applyFont="1" applyFill="1" applyBorder="1"/>
    <xf numFmtId="0" fontId="6" fillId="2" borderId="2" xfId="4" applyFont="1" applyFill="1" applyBorder="1"/>
    <xf numFmtId="0" fontId="6" fillId="2" borderId="3" xfId="4" applyFont="1" applyFill="1" applyBorder="1"/>
    <xf numFmtId="0" fontId="6" fillId="2" borderId="4" xfId="4" applyFont="1" applyFill="1" applyBorder="1"/>
    <xf numFmtId="0" fontId="8" fillId="2" borderId="0" xfId="4" applyFont="1" applyFill="1" applyBorder="1"/>
    <xf numFmtId="42" fontId="14" fillId="2" borderId="0" xfId="4" applyNumberFormat="1" applyFont="1" applyFill="1" applyBorder="1"/>
    <xf numFmtId="0" fontId="6" fillId="2" borderId="5" xfId="4" applyFont="1" applyFill="1" applyBorder="1"/>
    <xf numFmtId="41" fontId="14" fillId="2" borderId="0" xfId="4" applyNumberFormat="1" applyFont="1" applyFill="1" applyBorder="1"/>
    <xf numFmtId="0" fontId="6" fillId="2" borderId="6" xfId="4" applyFont="1" applyFill="1" applyBorder="1"/>
    <xf numFmtId="0" fontId="8" fillId="2" borderId="7" xfId="4" applyFont="1" applyFill="1" applyBorder="1"/>
    <xf numFmtId="1" fontId="7" fillId="2" borderId="7" xfId="4" applyNumberFormat="1" applyFont="1" applyFill="1" applyBorder="1"/>
    <xf numFmtId="0" fontId="6" fillId="2" borderId="8" xfId="4" applyFont="1" applyFill="1" applyBorder="1"/>
    <xf numFmtId="0" fontId="10" fillId="3" borderId="1" xfId="4" applyFont="1" applyFill="1" applyBorder="1"/>
    <xf numFmtId="0" fontId="10" fillId="3" borderId="2" xfId="4" applyFont="1" applyFill="1" applyBorder="1"/>
    <xf numFmtId="0" fontId="10" fillId="3" borderId="3" xfId="4" applyFont="1" applyFill="1" applyBorder="1"/>
    <xf numFmtId="0" fontId="10" fillId="0" borderId="0" xfId="4" applyFont="1" applyFill="1" applyBorder="1"/>
    <xf numFmtId="0" fontId="10" fillId="3" borderId="4" xfId="4" applyFont="1" applyFill="1" applyBorder="1"/>
    <xf numFmtId="0" fontId="24" fillId="3" borderId="0" xfId="4" applyFont="1" applyFill="1" applyBorder="1"/>
    <xf numFmtId="0" fontId="10" fillId="3" borderId="0" xfId="4" applyFont="1" applyFill="1" applyBorder="1"/>
    <xf numFmtId="0" fontId="10" fillId="3" borderId="5" xfId="4" applyFont="1" applyFill="1" applyBorder="1"/>
    <xf numFmtId="0" fontId="8" fillId="3" borderId="0" xfId="4" applyFont="1" applyFill="1" applyBorder="1"/>
    <xf numFmtId="42" fontId="13" fillId="3" borderId="0" xfId="4" applyNumberFormat="1" applyFont="1" applyFill="1" applyBorder="1"/>
    <xf numFmtId="41" fontId="13" fillId="3" borderId="10" xfId="4" applyNumberFormat="1" applyFont="1" applyFill="1" applyBorder="1"/>
    <xf numFmtId="0" fontId="25" fillId="3" borderId="0" xfId="4" applyFont="1" applyFill="1" applyBorder="1" applyAlignment="1">
      <alignment horizontal="center"/>
    </xf>
    <xf numFmtId="41" fontId="13" fillId="3" borderId="0" xfId="4" applyNumberFormat="1" applyFont="1" applyFill="1" applyBorder="1"/>
    <xf numFmtId="42" fontId="13" fillId="3" borderId="11" xfId="4" applyNumberFormat="1" applyFont="1" applyFill="1" applyBorder="1"/>
    <xf numFmtId="41" fontId="8" fillId="3" borderId="0" xfId="4" applyNumberFormat="1" applyFont="1" applyFill="1" applyBorder="1"/>
    <xf numFmtId="41" fontId="8" fillId="3" borderId="10" xfId="4" applyNumberFormat="1" applyFont="1" applyFill="1" applyBorder="1"/>
    <xf numFmtId="168" fontId="13" fillId="3" borderId="0" xfId="4" applyNumberFormat="1" applyFont="1" applyFill="1" applyBorder="1"/>
    <xf numFmtId="44" fontId="12" fillId="3" borderId="9" xfId="4" applyNumberFormat="1" applyFont="1" applyFill="1" applyBorder="1"/>
    <xf numFmtId="0" fontId="10" fillId="3" borderId="6" xfId="4" applyFont="1" applyFill="1" applyBorder="1"/>
    <xf numFmtId="0" fontId="8" fillId="3" borderId="7" xfId="4" applyFont="1" applyFill="1" applyBorder="1"/>
    <xf numFmtId="0" fontId="10" fillId="3" borderId="8" xfId="4" applyFont="1" applyFill="1" applyBorder="1"/>
    <xf numFmtId="0" fontId="2" fillId="0" borderId="0" xfId="4" applyFill="1" applyBorder="1"/>
    <xf numFmtId="0" fontId="10" fillId="0" borderId="0" xfId="4" applyFont="1"/>
    <xf numFmtId="42" fontId="40" fillId="2" borderId="0" xfId="3" applyNumberFormat="1" applyFont="1" applyFill="1" applyBorder="1"/>
    <xf numFmtId="169" fontId="13" fillId="3" borderId="10" xfId="0" applyNumberFormat="1" applyFont="1" applyFill="1" applyBorder="1"/>
    <xf numFmtId="169" fontId="8" fillId="3" borderId="10" xfId="0" applyNumberFormat="1" applyFont="1" applyFill="1" applyBorder="1"/>
    <xf numFmtId="168" fontId="40" fillId="2" borderId="0" xfId="2" applyNumberFormat="1" applyFont="1" applyFill="1" applyBorder="1"/>
    <xf numFmtId="44" fontId="12" fillId="3" borderId="9" xfId="2" applyFont="1" applyFill="1" applyBorder="1"/>
    <xf numFmtId="172" fontId="40" fillId="2" borderId="0" xfId="0" applyNumberFormat="1" applyFont="1" applyFill="1" applyBorder="1"/>
    <xf numFmtId="44" fontId="40" fillId="3" borderId="0" xfId="0" applyNumberFormat="1" applyFont="1" applyFill="1" applyBorder="1"/>
    <xf numFmtId="42" fontId="0" fillId="0" borderId="0" xfId="0" applyNumberFormat="1"/>
    <xf numFmtId="41" fontId="8" fillId="3" borderId="10" xfId="0" applyNumberFormat="1" applyFont="1" applyFill="1" applyBorder="1"/>
    <xf numFmtId="175" fontId="0" fillId="0" borderId="0" xfId="0" applyNumberFormat="1"/>
    <xf numFmtId="10" fontId="27" fillId="2" borderId="0" xfId="3" applyNumberFormat="1" applyFont="1" applyFill="1" applyBorder="1"/>
    <xf numFmtId="176" fontId="14" fillId="2" borderId="0" xfId="0" applyNumberFormat="1" applyFont="1" applyFill="1" applyBorder="1"/>
    <xf numFmtId="176" fontId="14" fillId="2" borderId="0" xfId="3" applyNumberFormat="1" applyFont="1" applyFill="1" applyBorder="1"/>
    <xf numFmtId="0" fontId="8" fillId="0" borderId="0" xfId="4" applyFont="1" applyFill="1" applyBorder="1"/>
    <xf numFmtId="0" fontId="8" fillId="3" borderId="0" xfId="4" applyFont="1" applyFill="1" applyBorder="1" applyAlignment="1">
      <alignment horizontal="center"/>
    </xf>
    <xf numFmtId="44" fontId="12" fillId="3" borderId="9" xfId="4" applyNumberFormat="1" applyFont="1" applyFill="1" applyBorder="1" applyAlignment="1">
      <alignment horizontal="center"/>
    </xf>
    <xf numFmtId="0" fontId="8" fillId="3" borderId="0" xfId="4" applyFont="1" applyFill="1" applyBorder="1" applyAlignment="1">
      <alignment horizontal="left"/>
    </xf>
    <xf numFmtId="44" fontId="8" fillId="3" borderId="0" xfId="4" applyNumberFormat="1" applyFont="1" applyFill="1" applyBorder="1" applyAlignment="1">
      <alignment horizontal="center"/>
    </xf>
    <xf numFmtId="44" fontId="13" fillId="3" borderId="0" xfId="4" applyNumberFormat="1" applyFont="1" applyFill="1" applyBorder="1" applyAlignment="1">
      <alignment horizontal="right"/>
    </xf>
    <xf numFmtId="44" fontId="13" fillId="3" borderId="0" xfId="4" applyNumberFormat="1" applyFont="1" applyFill="1" applyBorder="1" applyAlignment="1">
      <alignment horizontal="center"/>
    </xf>
    <xf numFmtId="0" fontId="15" fillId="3" borderId="0" xfId="4" applyFont="1" applyFill="1" applyBorder="1" applyAlignment="1">
      <alignment horizontal="center"/>
    </xf>
    <xf numFmtId="44" fontId="13" fillId="3" borderId="0" xfId="4" applyNumberFormat="1" applyFont="1" applyFill="1" applyBorder="1" applyAlignment="1">
      <alignment horizontal="left"/>
    </xf>
    <xf numFmtId="44" fontId="13" fillId="3" borderId="0" xfId="4" applyNumberFormat="1" applyFont="1" applyFill="1" applyBorder="1"/>
    <xf numFmtId="0" fontId="8" fillId="3" borderId="10" xfId="4" applyFont="1" applyFill="1" applyBorder="1"/>
    <xf numFmtId="42" fontId="13" fillId="3" borderId="10" xfId="4" applyNumberFormat="1" applyFont="1" applyFill="1" applyBorder="1"/>
    <xf numFmtId="172" fontId="13" fillId="3" borderId="0" xfId="4" applyNumberFormat="1" applyFont="1" applyFill="1" applyBorder="1"/>
    <xf numFmtId="172" fontId="13" fillId="3" borderId="11" xfId="4" applyNumberFormat="1" applyFont="1" applyFill="1" applyBorder="1"/>
    <xf numFmtId="43" fontId="13" fillId="3" borderId="0" xfId="4" applyNumberFormat="1" applyFont="1" applyFill="1" applyBorder="1"/>
    <xf numFmtId="43" fontId="13" fillId="3" borderId="10" xfId="4" applyNumberFormat="1" applyFont="1" applyFill="1" applyBorder="1"/>
    <xf numFmtId="10" fontId="40" fillId="3" borderId="0" xfId="3" applyNumberFormat="1" applyFont="1" applyFill="1" applyBorder="1"/>
    <xf numFmtId="44" fontId="40" fillId="3" borderId="0" xfId="9" applyFont="1" applyFill="1" applyBorder="1"/>
    <xf numFmtId="172" fontId="40" fillId="3" borderId="0" xfId="4" applyNumberFormat="1" applyFont="1" applyFill="1" applyBorder="1"/>
    <xf numFmtId="1" fontId="7" fillId="2" borderId="0" xfId="4" applyNumberFormat="1" applyFont="1" applyFill="1" applyBorder="1"/>
    <xf numFmtId="42" fontId="42" fillId="3" borderId="11" xfId="0" applyNumberFormat="1" applyFont="1" applyFill="1" applyBorder="1"/>
    <xf numFmtId="42" fontId="42" fillId="3" borderId="0" xfId="0" applyNumberFormat="1" applyFont="1" applyFill="1" applyBorder="1"/>
    <xf numFmtId="44" fontId="12" fillId="3" borderId="12" xfId="0" applyNumberFormat="1" applyFont="1" applyFill="1" applyBorder="1"/>
    <xf numFmtId="0" fontId="5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/>
    </xf>
    <xf numFmtId="169" fontId="5" fillId="2" borderId="0" xfId="1" applyNumberFormat="1" applyFont="1" applyFill="1" applyBorder="1" applyAlignment="1">
      <alignment horizontal="right"/>
    </xf>
    <xf numFmtId="42" fontId="42" fillId="3" borderId="9" xfId="0" applyNumberFormat="1" applyFont="1" applyFill="1" applyBorder="1"/>
    <xf numFmtId="168" fontId="42" fillId="3" borderId="9" xfId="0" applyNumberFormat="1" applyFont="1" applyFill="1" applyBorder="1"/>
    <xf numFmtId="0" fontId="10" fillId="3" borderId="0" xfId="0" applyFont="1" applyFill="1" applyBorder="1" applyAlignment="1">
      <alignment horizontal="right"/>
    </xf>
    <xf numFmtId="41" fontId="42" fillId="3" borderId="9" xfId="0" applyNumberFormat="1" applyFont="1" applyFill="1" applyBorder="1"/>
    <xf numFmtId="0" fontId="8" fillId="2" borderId="0" xfId="0" applyFont="1" applyFill="1" applyBorder="1" applyAlignment="1">
      <alignment horizontal="right"/>
    </xf>
    <xf numFmtId="42" fontId="8" fillId="2" borderId="0" xfId="0" applyNumberFormat="1" applyFont="1" applyFill="1" applyBorder="1" applyAlignment="1">
      <alignment horizontal="right"/>
    </xf>
    <xf numFmtId="0" fontId="32" fillId="3" borderId="0" xfId="0" applyFont="1" applyFill="1" applyBorder="1" applyAlignment="1">
      <alignment horizontal="center"/>
    </xf>
    <xf numFmtId="42" fontId="40" fillId="2" borderId="0" xfId="0" applyNumberFormat="1" applyFont="1" applyFill="1" applyBorder="1"/>
    <xf numFmtId="9" fontId="40" fillId="2" borderId="0" xfId="0" applyNumberFormat="1" applyFont="1" applyFill="1" applyBorder="1"/>
    <xf numFmtId="10" fontId="2" fillId="0" borderId="0" xfId="4" applyNumberFormat="1"/>
    <xf numFmtId="9" fontId="14" fillId="2" borderId="0" xfId="4" applyNumberFormat="1" applyFont="1" applyFill="1" applyBorder="1"/>
    <xf numFmtId="0" fontId="2" fillId="2" borderId="7" xfId="4" applyFill="1" applyBorder="1"/>
    <xf numFmtId="0" fontId="6" fillId="0" borderId="0" xfId="4" applyFont="1" applyFill="1" applyBorder="1"/>
    <xf numFmtId="0" fontId="8" fillId="3" borderId="1" xfId="4" applyFont="1" applyFill="1" applyBorder="1"/>
    <xf numFmtId="0" fontId="8" fillId="3" borderId="2" xfId="4" applyFont="1" applyFill="1" applyBorder="1"/>
    <xf numFmtId="0" fontId="5" fillId="3" borderId="3" xfId="4" applyFont="1" applyFill="1" applyBorder="1"/>
    <xf numFmtId="0" fontId="8" fillId="3" borderId="4" xfId="4" applyFont="1" applyFill="1" applyBorder="1"/>
    <xf numFmtId="6" fontId="15" fillId="3" borderId="0" xfId="4" applyNumberFormat="1" applyFont="1" applyFill="1" applyBorder="1" applyAlignment="1">
      <alignment horizontal="right"/>
    </xf>
    <xf numFmtId="0" fontId="8" fillId="3" borderId="5" xfId="4" applyFont="1" applyFill="1" applyBorder="1"/>
    <xf numFmtId="42" fontId="13" fillId="3" borderId="0" xfId="4" applyNumberFormat="1" applyFont="1" applyFill="1" applyBorder="1" applyAlignment="1">
      <alignment horizontal="right"/>
    </xf>
    <xf numFmtId="0" fontId="11" fillId="3" borderId="0" xfId="4" applyFont="1" applyFill="1" applyBorder="1"/>
    <xf numFmtId="41" fontId="13" fillId="3" borderId="0" xfId="4" applyNumberFormat="1" applyFont="1" applyFill="1" applyBorder="1" applyAlignment="1">
      <alignment horizontal="right"/>
    </xf>
    <xf numFmtId="41" fontId="13" fillId="3" borderId="10" xfId="4" applyNumberFormat="1" applyFont="1" applyFill="1" applyBorder="1" applyAlignment="1">
      <alignment horizontal="right"/>
    </xf>
    <xf numFmtId="42" fontId="40" fillId="3" borderId="0" xfId="4" applyNumberFormat="1" applyFont="1" applyFill="1" applyBorder="1"/>
    <xf numFmtId="41" fontId="40" fillId="3" borderId="10" xfId="4" applyNumberFormat="1" applyFont="1" applyFill="1" applyBorder="1"/>
    <xf numFmtId="0" fontId="8" fillId="3" borderId="0" xfId="4" quotePrefix="1" applyFont="1" applyFill="1" applyBorder="1"/>
    <xf numFmtId="42" fontId="40" fillId="3" borderId="10" xfId="4" applyNumberFormat="1" applyFont="1" applyFill="1" applyBorder="1"/>
    <xf numFmtId="41" fontId="11" fillId="3" borderId="10" xfId="4" applyNumberFormat="1" applyFont="1" applyFill="1" applyBorder="1"/>
    <xf numFmtId="0" fontId="15" fillId="3" borderId="0" xfId="4" applyFont="1" applyFill="1" applyBorder="1" applyAlignment="1">
      <alignment horizontal="right"/>
    </xf>
    <xf numFmtId="8" fontId="15" fillId="3" borderId="0" xfId="4" applyNumberFormat="1" applyFont="1" applyFill="1" applyBorder="1" applyAlignment="1">
      <alignment horizontal="right" wrapText="1"/>
    </xf>
    <xf numFmtId="8" fontId="8" fillId="3" borderId="0" xfId="4" applyNumberFormat="1" applyFont="1" applyFill="1" applyBorder="1"/>
    <xf numFmtId="8" fontId="15" fillId="3" borderId="0" xfId="4" applyNumberFormat="1" applyFont="1" applyFill="1" applyBorder="1" applyAlignment="1">
      <alignment horizontal="right"/>
    </xf>
    <xf numFmtId="0" fontId="8" fillId="3" borderId="6" xfId="4" applyFont="1" applyFill="1" applyBorder="1"/>
    <xf numFmtId="164" fontId="8" fillId="3" borderId="7" xfId="4" applyNumberFormat="1" applyFont="1" applyFill="1" applyBorder="1"/>
    <xf numFmtId="0" fontId="8" fillId="3" borderId="8" xfId="4" applyFont="1" applyFill="1" applyBorder="1"/>
    <xf numFmtId="0" fontId="2" fillId="0" borderId="0" xfId="4" applyBorder="1"/>
    <xf numFmtId="41" fontId="40" fillId="2" borderId="0" xfId="3" applyNumberFormat="1" applyFont="1" applyFill="1" applyBorder="1"/>
    <xf numFmtId="9" fontId="40" fillId="2" borderId="0" xfId="3" applyFont="1" applyFill="1" applyBorder="1"/>
    <xf numFmtId="2" fontId="10" fillId="0" borderId="0" xfId="0" applyNumberFormat="1" applyFont="1"/>
  </cellXfs>
  <cellStyles count="10">
    <cellStyle name="Comma" xfId="1" builtinId="3"/>
    <cellStyle name="Currency" xfId="2" builtinId="4"/>
    <cellStyle name="Currency 2" xfId="5"/>
    <cellStyle name="Currency 3" xfId="9"/>
    <cellStyle name="Normal" xfId="0" builtinId="0"/>
    <cellStyle name="Normal 2" xfId="4"/>
    <cellStyle name="Normal 3" xfId="6"/>
    <cellStyle name="Percent" xfId="3" builtinId="5"/>
    <cellStyle name="Percent 2" xfId="7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>
      <selection activeCell="D15" sqref="D15"/>
    </sheetView>
  </sheetViews>
  <sheetFormatPr defaultRowHeight="12.75" x14ac:dyDescent="0.2"/>
  <cols>
    <col min="1" max="3" width="9.140625" style="98"/>
    <col min="4" max="4" width="42.5703125" style="98" customWidth="1"/>
    <col min="5" max="16384" width="9.140625" style="98"/>
  </cols>
  <sheetData>
    <row r="1" spans="1:29" x14ac:dyDescent="0.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</row>
    <row r="2" spans="1:29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</row>
    <row r="3" spans="1:29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</row>
    <row r="4" spans="1:29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</row>
    <row r="5" spans="1:29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1:29" x14ac:dyDescent="0.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</row>
    <row r="7" spans="1:29" x14ac:dyDescent="0.2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</row>
    <row r="8" spans="1:29" x14ac:dyDescent="0.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</row>
    <row r="9" spans="1:29" x14ac:dyDescent="0.2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</row>
    <row r="10" spans="1:29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</row>
    <row r="11" spans="1:29" x14ac:dyDescent="0.2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spans="1:29" ht="59.25" x14ac:dyDescent="0.75">
      <c r="A12" s="96"/>
      <c r="B12" s="96"/>
      <c r="C12" s="96"/>
      <c r="D12" s="99" t="s">
        <v>412</v>
      </c>
      <c r="E12" s="96"/>
      <c r="F12" s="100"/>
      <c r="G12" s="96"/>
      <c r="H12" s="96"/>
      <c r="I12" s="96"/>
      <c r="J12" s="96"/>
      <c r="K12" s="96"/>
      <c r="L12" s="96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</row>
    <row r="13" spans="1:29" x14ac:dyDescent="0.2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</row>
    <row r="14" spans="1:29" ht="23.25" x14ac:dyDescent="0.35">
      <c r="A14" s="96"/>
      <c r="B14" s="96"/>
      <c r="C14" s="96"/>
      <c r="D14" s="101" t="s">
        <v>449</v>
      </c>
      <c r="E14" s="96"/>
      <c r="F14" s="96"/>
      <c r="G14" s="96"/>
      <c r="H14" s="96"/>
      <c r="I14" s="96"/>
      <c r="J14" s="96"/>
      <c r="K14" s="96"/>
      <c r="L14" s="96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</row>
    <row r="15" spans="1:29" x14ac:dyDescent="0.2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</row>
    <row r="16" spans="1:29" x14ac:dyDescent="0.2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</row>
    <row r="17" spans="1:29" ht="15" x14ac:dyDescent="0.2">
      <c r="A17" s="96"/>
      <c r="B17" s="96"/>
      <c r="C17" s="96"/>
      <c r="D17" s="102"/>
      <c r="E17" s="96"/>
      <c r="F17" s="96"/>
      <c r="G17" s="96"/>
      <c r="H17" s="96"/>
      <c r="I17" s="96"/>
      <c r="J17" s="96"/>
      <c r="K17" s="96"/>
      <c r="L17" s="96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</row>
    <row r="18" spans="1:29" ht="15.75" x14ac:dyDescent="0.25">
      <c r="A18" s="96"/>
      <c r="B18" s="96"/>
      <c r="C18" s="96"/>
      <c r="D18" s="103" t="s">
        <v>71</v>
      </c>
      <c r="E18" s="96"/>
      <c r="F18" s="96"/>
      <c r="G18" s="96"/>
      <c r="H18" s="96"/>
      <c r="I18" s="96"/>
      <c r="J18" s="96"/>
      <c r="K18" s="96"/>
      <c r="L18" s="96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</row>
    <row r="19" spans="1:29" ht="15.75" x14ac:dyDescent="0.25">
      <c r="A19" s="96"/>
      <c r="B19" s="96"/>
      <c r="C19" s="96"/>
      <c r="D19" s="104" t="s">
        <v>72</v>
      </c>
      <c r="E19" s="96"/>
      <c r="F19" s="96"/>
      <c r="G19" s="96"/>
      <c r="H19" s="96"/>
      <c r="I19" s="96"/>
      <c r="J19" s="96"/>
      <c r="K19" s="96"/>
      <c r="L19" s="96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</row>
    <row r="20" spans="1:29" ht="15.75" x14ac:dyDescent="0.25">
      <c r="A20" s="96"/>
      <c r="B20" s="96"/>
      <c r="C20" s="96"/>
      <c r="D20" s="105" t="s">
        <v>73</v>
      </c>
      <c r="E20" s="96"/>
      <c r="F20" s="96"/>
      <c r="G20" s="96"/>
      <c r="H20" s="96"/>
      <c r="I20" s="96"/>
      <c r="J20" s="96"/>
      <c r="K20" s="96"/>
      <c r="L20" s="96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</row>
    <row r="21" spans="1:29" ht="15.75" x14ac:dyDescent="0.25">
      <c r="A21" s="96"/>
      <c r="B21" s="96"/>
      <c r="C21" s="96"/>
      <c r="D21" s="106" t="s">
        <v>74</v>
      </c>
      <c r="E21" s="96"/>
      <c r="F21" s="96"/>
      <c r="G21" s="96"/>
      <c r="H21" s="96"/>
      <c r="I21" s="96"/>
      <c r="J21" s="96"/>
      <c r="K21" s="96"/>
      <c r="L21" s="96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</row>
    <row r="22" spans="1:29" ht="15.75" x14ac:dyDescent="0.25">
      <c r="A22" s="96"/>
      <c r="B22" s="96"/>
      <c r="C22" s="96"/>
      <c r="D22" s="107" t="s">
        <v>75</v>
      </c>
      <c r="E22" s="96"/>
      <c r="F22" s="96"/>
      <c r="G22" s="96"/>
      <c r="H22" s="96"/>
      <c r="I22" s="96"/>
      <c r="J22" s="96"/>
      <c r="K22" s="96"/>
      <c r="L22" s="96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</row>
    <row r="23" spans="1:29" ht="15" x14ac:dyDescent="0.2">
      <c r="A23" s="96"/>
      <c r="B23" s="96"/>
      <c r="C23" s="96"/>
      <c r="D23" s="102"/>
      <c r="E23" s="96"/>
      <c r="F23" s="96"/>
      <c r="G23" s="96"/>
      <c r="H23" s="96"/>
      <c r="I23" s="96"/>
      <c r="J23" s="96"/>
      <c r="K23" s="96"/>
      <c r="L23" s="96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</row>
    <row r="24" spans="1:29" x14ac:dyDescent="0.2">
      <c r="A24" s="96"/>
      <c r="B24" s="96"/>
      <c r="C24" s="96"/>
      <c r="D24" s="341" t="s">
        <v>408</v>
      </c>
      <c r="E24" s="96"/>
      <c r="F24" s="96"/>
      <c r="G24" s="96"/>
      <c r="H24" s="96"/>
      <c r="I24" s="96"/>
      <c r="J24" s="96"/>
      <c r="K24" s="96"/>
      <c r="L24" s="96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</row>
    <row r="25" spans="1:29" x14ac:dyDescent="0.2">
      <c r="A25" s="96"/>
      <c r="B25" s="96"/>
      <c r="C25" s="96"/>
      <c r="D25" s="341" t="s">
        <v>409</v>
      </c>
      <c r="E25" s="96"/>
      <c r="F25" s="96"/>
      <c r="G25" s="96"/>
      <c r="H25" s="96"/>
      <c r="I25" s="96"/>
      <c r="J25" s="96"/>
      <c r="K25" s="96"/>
      <c r="L25" s="96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</row>
    <row r="26" spans="1:29" x14ac:dyDescent="0.2">
      <c r="A26" s="96"/>
      <c r="B26" s="96"/>
      <c r="C26" s="96"/>
      <c r="D26" s="341" t="s">
        <v>410</v>
      </c>
      <c r="E26" s="96"/>
      <c r="F26" s="96"/>
      <c r="G26" s="96"/>
      <c r="H26" s="96"/>
      <c r="I26" s="96"/>
      <c r="J26" s="96"/>
      <c r="K26" s="96"/>
      <c r="L26" s="96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</row>
    <row r="27" spans="1:29" x14ac:dyDescent="0.2">
      <c r="A27" s="96"/>
      <c r="B27" s="96"/>
      <c r="C27" s="96"/>
      <c r="D27" s="341" t="s">
        <v>411</v>
      </c>
      <c r="E27" s="96"/>
      <c r="F27" s="96"/>
      <c r="G27" s="96"/>
      <c r="H27" s="96"/>
      <c r="I27" s="96"/>
      <c r="J27" s="96"/>
      <c r="K27" s="96"/>
      <c r="L27" s="96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</row>
    <row r="28" spans="1:29" x14ac:dyDescent="0.2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</row>
    <row r="29" spans="1:29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</row>
    <row r="30" spans="1:29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</row>
    <row r="31" spans="1:29" x14ac:dyDescent="0.2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</row>
    <row r="32" spans="1:29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</row>
    <row r="33" spans="1:29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</row>
    <row r="34" spans="1:29" x14ac:dyDescent="0.2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</row>
    <row r="35" spans="1:29" x14ac:dyDescent="0.2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</row>
    <row r="36" spans="1:29" x14ac:dyDescent="0.2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</row>
    <row r="37" spans="1:29" x14ac:dyDescent="0.2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</row>
    <row r="38" spans="1:29" x14ac:dyDescent="0.2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</row>
    <row r="39" spans="1:29" x14ac:dyDescent="0.2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</row>
    <row r="40" spans="1:29" x14ac:dyDescent="0.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</row>
    <row r="41" spans="1:29" x14ac:dyDescent="0.2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</row>
    <row r="42" spans="1:29" x14ac:dyDescent="0.2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</row>
    <row r="43" spans="1:29" x14ac:dyDescent="0.2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</row>
    <row r="44" spans="1:29" x14ac:dyDescent="0.2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</row>
    <row r="45" spans="1:29" x14ac:dyDescent="0.2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</row>
    <row r="46" spans="1:29" x14ac:dyDescent="0.2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</row>
    <row r="47" spans="1:29" x14ac:dyDescent="0.2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1:29" x14ac:dyDescent="0.2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  <row r="49" spans="1:12" x14ac:dyDescent="0.2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</row>
    <row r="50" spans="1:12" x14ac:dyDescent="0.2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</row>
    <row r="51" spans="1:12" x14ac:dyDescent="0.2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</row>
    <row r="52" spans="1:12" x14ac:dyDescent="0.2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</row>
    <row r="53" spans="1:12" x14ac:dyDescent="0.2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</row>
    <row r="54" spans="1:12" x14ac:dyDescent="0.2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</row>
    <row r="55" spans="1:12" x14ac:dyDescent="0.2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</row>
    <row r="56" spans="1:12" x14ac:dyDescent="0.2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</row>
    <row r="57" spans="1:12" x14ac:dyDescent="0.2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</row>
    <row r="58" spans="1:12" x14ac:dyDescent="0.2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</row>
    <row r="59" spans="1:12" x14ac:dyDescent="0.2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</row>
    <row r="60" spans="1:12" x14ac:dyDescent="0.2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</row>
    <row r="61" spans="1:12" x14ac:dyDescent="0.2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</row>
    <row r="62" spans="1:12" x14ac:dyDescent="0.2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</row>
    <row r="63" spans="1:12" x14ac:dyDescent="0.2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</row>
    <row r="64" spans="1:12" x14ac:dyDescent="0.2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</row>
    <row r="65" spans="1:12" x14ac:dyDescent="0.2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</row>
    <row r="66" spans="1:12" x14ac:dyDescent="0.2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</row>
    <row r="67" spans="1:12" x14ac:dyDescent="0.2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</row>
    <row r="68" spans="1:12" x14ac:dyDescent="0.2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</row>
    <row r="69" spans="1:12" x14ac:dyDescent="0.2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</row>
    <row r="70" spans="1:12" x14ac:dyDescent="0.2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</row>
    <row r="71" spans="1:12" x14ac:dyDescent="0.2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</row>
    <row r="72" spans="1:12" x14ac:dyDescent="0.2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</row>
    <row r="73" spans="1:12" x14ac:dyDescent="0.2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</row>
    <row r="74" spans="1:12" x14ac:dyDescent="0.2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</row>
    <row r="75" spans="1:12" x14ac:dyDescent="0.2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</row>
    <row r="76" spans="1:12" x14ac:dyDescent="0.2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</row>
    <row r="77" spans="1:12" x14ac:dyDescent="0.2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</row>
    <row r="78" spans="1:12" x14ac:dyDescent="0.2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</row>
    <row r="79" spans="1:12" x14ac:dyDescent="0.2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</row>
    <row r="80" spans="1:12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</row>
    <row r="81" spans="1:12" x14ac:dyDescent="0.2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</row>
    <row r="82" spans="1:12" x14ac:dyDescent="0.2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</row>
    <row r="83" spans="1:12" x14ac:dyDescent="0.2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</row>
    <row r="84" spans="1:12" x14ac:dyDescent="0.2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</row>
    <row r="85" spans="1:12" x14ac:dyDescent="0.2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</row>
    <row r="86" spans="1:12" x14ac:dyDescent="0.2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</row>
    <row r="87" spans="1:12" x14ac:dyDescent="0.2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</row>
    <row r="88" spans="1:12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</row>
    <row r="89" spans="1:12" x14ac:dyDescent="0.2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</row>
    <row r="90" spans="1:12" x14ac:dyDescent="0.2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</row>
    <row r="91" spans="1:12" x14ac:dyDescent="0.2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</row>
    <row r="92" spans="1:1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</row>
    <row r="93" spans="1:12" x14ac:dyDescent="0.2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</row>
    <row r="94" spans="1:12" x14ac:dyDescent="0.2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</row>
    <row r="95" spans="1:12" x14ac:dyDescent="0.2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</row>
    <row r="96" spans="1:12" x14ac:dyDescent="0.2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</row>
    <row r="97" spans="1:12" x14ac:dyDescent="0.2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</row>
    <row r="98" spans="1:12" x14ac:dyDescent="0.2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</row>
    <row r="99" spans="1:12" x14ac:dyDescent="0.2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</row>
    <row r="100" spans="1:12" x14ac:dyDescent="0.2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</row>
    <row r="101" spans="1:12" x14ac:dyDescent="0.2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</row>
    <row r="102" spans="1:12" x14ac:dyDescent="0.2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</row>
    <row r="103" spans="1:12" x14ac:dyDescent="0.2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</row>
    <row r="104" spans="1:12" x14ac:dyDescent="0.2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</row>
    <row r="105" spans="1:12" x14ac:dyDescent="0.2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</row>
    <row r="106" spans="1:12" x14ac:dyDescent="0.2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9.140625" customWidth="1"/>
  </cols>
  <sheetData>
    <row r="1" spans="2:9" ht="18.75" customHeight="1" x14ac:dyDescent="0.25">
      <c r="C1" s="1" t="s">
        <v>412</v>
      </c>
    </row>
    <row r="2" spans="2:9" ht="15.75" customHeight="1" x14ac:dyDescent="0.2">
      <c r="C2" s="3" t="s">
        <v>190</v>
      </c>
    </row>
    <row r="3" spans="2:9" ht="15.75" customHeight="1" x14ac:dyDescent="0.2"/>
    <row r="4" spans="2:9" ht="15.75" customHeight="1" x14ac:dyDescent="0.2">
      <c r="C4" s="2" t="s">
        <v>1</v>
      </c>
    </row>
    <row r="5" spans="2:9" ht="15.75" customHeight="1" thickBot="1" x14ac:dyDescent="0.25"/>
    <row r="6" spans="2:9" ht="15.75" customHeight="1" x14ac:dyDescent="0.2">
      <c r="B6" s="5"/>
      <c r="C6" s="6"/>
      <c r="D6" s="6"/>
      <c r="E6" s="7"/>
    </row>
    <row r="7" spans="2:9" ht="15.75" customHeight="1" x14ac:dyDescent="0.2">
      <c r="B7" s="8"/>
      <c r="C7" s="13" t="s">
        <v>79</v>
      </c>
      <c r="D7" s="430">
        <f>'#8'!D7</f>
        <v>375000</v>
      </c>
      <c r="E7" s="9"/>
    </row>
    <row r="8" spans="2:9" ht="15.75" customHeight="1" x14ac:dyDescent="0.2">
      <c r="B8" s="8"/>
      <c r="C8" s="13" t="s">
        <v>32</v>
      </c>
      <c r="D8" s="430">
        <f>'#8'!D8</f>
        <v>25000</v>
      </c>
      <c r="E8" s="9"/>
    </row>
    <row r="9" spans="2:9" ht="15.75" customHeight="1" x14ac:dyDescent="0.2">
      <c r="B9" s="8"/>
      <c r="C9" s="13" t="s">
        <v>29</v>
      </c>
      <c r="D9" s="430">
        <f>'#8'!D9</f>
        <v>95000</v>
      </c>
      <c r="E9" s="9"/>
    </row>
    <row r="10" spans="2:9" ht="15.75" customHeight="1" x14ac:dyDescent="0.2">
      <c r="B10" s="8"/>
      <c r="C10" s="13" t="s">
        <v>69</v>
      </c>
      <c r="D10" s="430">
        <f>'#8'!D10</f>
        <v>15000</v>
      </c>
      <c r="E10" s="9"/>
      <c r="G10" s="57"/>
    </row>
    <row r="11" spans="2:9" ht="15.75" customHeight="1" x14ac:dyDescent="0.2">
      <c r="B11" s="8"/>
      <c r="C11" s="13" t="s">
        <v>6</v>
      </c>
      <c r="D11" s="431">
        <f>'#8'!D11</f>
        <v>0.24</v>
      </c>
      <c r="E11" s="9"/>
    </row>
    <row r="12" spans="2:9" ht="15.75" customHeight="1" x14ac:dyDescent="0.2">
      <c r="B12" s="8"/>
      <c r="C12" s="13" t="s">
        <v>31</v>
      </c>
      <c r="D12" s="431">
        <f>'#8'!D12</f>
        <v>0.1</v>
      </c>
      <c r="E12" s="9"/>
      <c r="I12" s="58"/>
    </row>
    <row r="13" spans="2:9" ht="15.75" customHeight="1" thickBot="1" x14ac:dyDescent="0.25">
      <c r="B13" s="10"/>
      <c r="C13" s="11"/>
      <c r="D13" s="11"/>
      <c r="E13" s="12"/>
    </row>
    <row r="14" spans="2:9" ht="15.75" customHeight="1" x14ac:dyDescent="0.2"/>
    <row r="15" spans="2:9" ht="15.75" customHeight="1" x14ac:dyDescent="0.2">
      <c r="C15" s="2" t="s">
        <v>2</v>
      </c>
    </row>
    <row r="16" spans="2:9" ht="15.75" customHeight="1" thickBot="1" x14ac:dyDescent="0.25"/>
    <row r="17" spans="2:8" ht="15.75" customHeight="1" x14ac:dyDescent="0.2">
      <c r="B17" s="15"/>
      <c r="C17" s="16"/>
      <c r="D17" s="16"/>
      <c r="E17" s="17"/>
      <c r="F17" s="30"/>
      <c r="G17" s="30"/>
      <c r="H17" s="30"/>
    </row>
    <row r="18" spans="2:8" ht="15.75" customHeight="1" x14ac:dyDescent="0.2">
      <c r="B18" s="18"/>
      <c r="C18" s="19" t="s">
        <v>27</v>
      </c>
      <c r="D18" s="78">
        <f>D8*(1-D11)</f>
        <v>19000</v>
      </c>
      <c r="E18" s="22"/>
      <c r="F18" s="30"/>
      <c r="G18" s="30"/>
      <c r="H18" s="31"/>
    </row>
    <row r="19" spans="2:8" ht="15.75" customHeight="1" x14ac:dyDescent="0.2">
      <c r="B19" s="18"/>
      <c r="C19" s="19"/>
      <c r="D19" s="78"/>
      <c r="E19" s="22"/>
      <c r="F19" s="30"/>
      <c r="G19" s="30"/>
      <c r="H19" s="31"/>
    </row>
    <row r="20" spans="2:8" ht="15.75" customHeight="1" x14ac:dyDescent="0.2">
      <c r="B20" s="18"/>
      <c r="C20" s="429" t="s">
        <v>23</v>
      </c>
      <c r="D20" s="238" t="s">
        <v>24</v>
      </c>
      <c r="E20" s="22"/>
      <c r="F20" s="30"/>
      <c r="G20" s="30"/>
      <c r="H20" s="31"/>
    </row>
    <row r="21" spans="2:8" ht="15.75" customHeight="1" x14ac:dyDescent="0.2">
      <c r="B21" s="18"/>
      <c r="C21" s="75">
        <v>0</v>
      </c>
      <c r="D21" s="78">
        <f>-D7-D10</f>
        <v>-390000</v>
      </c>
      <c r="E21" s="22"/>
      <c r="F21" s="30"/>
      <c r="G21" s="30"/>
      <c r="H21" s="31"/>
    </row>
    <row r="22" spans="2:8" ht="15.75" customHeight="1" x14ac:dyDescent="0.2">
      <c r="B22" s="18"/>
      <c r="C22" s="75">
        <v>1</v>
      </c>
      <c r="D22" s="79">
        <f>D9*(1-D11)+(D7*D11)</f>
        <v>162200</v>
      </c>
      <c r="E22" s="22"/>
      <c r="F22" s="30"/>
      <c r="G22" s="30"/>
      <c r="H22" s="31"/>
    </row>
    <row r="23" spans="2:8" ht="15.75" customHeight="1" x14ac:dyDescent="0.2">
      <c r="B23" s="18"/>
      <c r="C23" s="75">
        <v>2</v>
      </c>
      <c r="D23" s="79">
        <f>D9*(1-D11)</f>
        <v>72200</v>
      </c>
      <c r="E23" s="22"/>
      <c r="F23" s="30"/>
      <c r="G23" s="30"/>
      <c r="H23" s="31"/>
    </row>
    <row r="24" spans="2:8" ht="15.75" customHeight="1" x14ac:dyDescent="0.2">
      <c r="B24" s="18"/>
      <c r="C24" s="75">
        <v>3</v>
      </c>
      <c r="D24" s="79">
        <f>D9*(1-D11)</f>
        <v>72200</v>
      </c>
      <c r="E24" s="22"/>
      <c r="F24" s="30"/>
      <c r="G24" s="30"/>
      <c r="H24" s="31"/>
    </row>
    <row r="25" spans="2:8" ht="15.75" customHeight="1" x14ac:dyDescent="0.2">
      <c r="B25" s="18"/>
      <c r="C25" s="75">
        <v>4</v>
      </c>
      <c r="D25" s="79">
        <f>D9*(1-D11)</f>
        <v>72200</v>
      </c>
      <c r="E25" s="22"/>
      <c r="F25" s="30"/>
      <c r="G25" s="30"/>
      <c r="H25" s="31"/>
    </row>
    <row r="26" spans="2:8" ht="15.75" customHeight="1" x14ac:dyDescent="0.2">
      <c r="B26" s="18"/>
      <c r="C26" s="75">
        <v>5</v>
      </c>
      <c r="D26" s="79">
        <f>D9*(1-D11)+D18+D10</f>
        <v>106200</v>
      </c>
      <c r="E26" s="22"/>
      <c r="F26" s="30"/>
      <c r="G26" s="30"/>
      <c r="H26" s="31"/>
    </row>
    <row r="27" spans="2:8" ht="15.75" customHeight="1" x14ac:dyDescent="0.2">
      <c r="B27" s="18"/>
      <c r="C27" s="19"/>
      <c r="D27" s="77"/>
      <c r="E27" s="21"/>
      <c r="F27" s="30"/>
      <c r="G27" s="30"/>
      <c r="H27" s="30"/>
    </row>
    <row r="28" spans="2:8" ht="15.75" customHeight="1" x14ac:dyDescent="0.25">
      <c r="B28" s="18"/>
      <c r="C28" s="19" t="s">
        <v>20</v>
      </c>
      <c r="D28" s="170">
        <f>NPV(D12,D22:D26)+D21</f>
        <v>-13375.688446516986</v>
      </c>
      <c r="E28" s="21"/>
      <c r="F28" s="30"/>
      <c r="G28" s="30"/>
      <c r="H28" s="30"/>
    </row>
    <row r="29" spans="2:8" ht="15.75" customHeight="1" thickBot="1" x14ac:dyDescent="0.25">
      <c r="B29" s="23"/>
      <c r="C29" s="53"/>
      <c r="D29" s="53"/>
      <c r="E29" s="25"/>
      <c r="F29" s="30"/>
      <c r="G29" s="30"/>
      <c r="H29" s="30"/>
    </row>
    <row r="30" spans="2:8" ht="15.75" customHeight="1" x14ac:dyDescent="0.2">
      <c r="B30" s="14"/>
      <c r="C30" s="14"/>
      <c r="D30" s="14"/>
      <c r="E30" s="14"/>
      <c r="F30" s="14"/>
      <c r="G30" s="14"/>
      <c r="H30" s="14"/>
    </row>
    <row r="31" spans="2:8" ht="15.75" customHeight="1" x14ac:dyDescent="0.2"/>
    <row r="32" spans="2:8" ht="15.75" customHeight="1" x14ac:dyDescent="0.2">
      <c r="D32" s="26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8" width="9.140625" customWidth="1"/>
  </cols>
  <sheetData>
    <row r="1" spans="2:5" ht="19.5" customHeight="1" x14ac:dyDescent="0.25">
      <c r="C1" s="1" t="s">
        <v>412</v>
      </c>
    </row>
    <row r="2" spans="2:5" ht="15.75" customHeight="1" x14ac:dyDescent="0.2">
      <c r="C2" s="3" t="s">
        <v>189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187</v>
      </c>
      <c r="D7" s="83">
        <v>7600000</v>
      </c>
      <c r="E7" s="9"/>
    </row>
    <row r="8" spans="2:5" ht="15.75" customHeight="1" x14ac:dyDescent="0.2">
      <c r="B8" s="8"/>
      <c r="C8" s="13" t="s">
        <v>32</v>
      </c>
      <c r="D8" s="83">
        <v>1400000</v>
      </c>
      <c r="E8" s="9"/>
    </row>
    <row r="9" spans="2:5" ht="15.75" customHeight="1" x14ac:dyDescent="0.2">
      <c r="B9" s="8"/>
      <c r="C9" s="13" t="s">
        <v>6</v>
      </c>
      <c r="D9" s="82">
        <v>0.21</v>
      </c>
      <c r="E9" s="9"/>
    </row>
    <row r="10" spans="2:5" ht="15.75" customHeight="1" x14ac:dyDescent="0.2">
      <c r="B10" s="8"/>
      <c r="C10" s="13" t="s">
        <v>431</v>
      </c>
      <c r="D10" s="234">
        <v>0.2</v>
      </c>
      <c r="E10" s="9"/>
    </row>
    <row r="11" spans="2:5" ht="15.75" customHeight="1" x14ac:dyDescent="0.2">
      <c r="B11" s="8"/>
      <c r="C11" s="13"/>
      <c r="D11" s="234">
        <v>0.32</v>
      </c>
      <c r="E11" s="9"/>
    </row>
    <row r="12" spans="2:5" ht="15.75" customHeight="1" x14ac:dyDescent="0.2">
      <c r="B12" s="8"/>
      <c r="C12" s="13"/>
      <c r="D12" s="234">
        <v>0.192</v>
      </c>
      <c r="E12" s="9"/>
    </row>
    <row r="13" spans="2:5" ht="15.75" customHeight="1" x14ac:dyDescent="0.2">
      <c r="B13" s="8"/>
      <c r="C13" s="13"/>
      <c r="D13" s="234">
        <v>0.1152</v>
      </c>
      <c r="E13" s="9"/>
    </row>
    <row r="14" spans="2:5" ht="15.75" customHeight="1" thickBot="1" x14ac:dyDescent="0.25">
      <c r="B14" s="10"/>
      <c r="C14" s="11"/>
      <c r="D14" s="11"/>
      <c r="E14" s="12"/>
    </row>
    <row r="15" spans="2:5" ht="15.75" customHeight="1" x14ac:dyDescent="0.2"/>
    <row r="16" spans="2:5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5"/>
      <c r="C18" s="16"/>
      <c r="D18" s="16"/>
      <c r="E18" s="17"/>
      <c r="F18" s="30"/>
      <c r="G18" s="30"/>
      <c r="H18" s="30"/>
    </row>
    <row r="19" spans="2:8" ht="15.75" customHeight="1" x14ac:dyDescent="0.2">
      <c r="B19" s="18"/>
      <c r="C19" s="19" t="s">
        <v>26</v>
      </c>
      <c r="D19" s="78">
        <f>D7-(D10+D11+D12+D13)*D7</f>
        <v>1313280.0000000009</v>
      </c>
      <c r="E19" s="21"/>
      <c r="F19" s="31"/>
      <c r="G19" s="31"/>
      <c r="H19" s="30"/>
    </row>
    <row r="20" spans="2:8" ht="15.75" customHeight="1" x14ac:dyDescent="0.2">
      <c r="B20" s="18"/>
      <c r="C20" s="34"/>
      <c r="D20" s="235"/>
      <c r="E20" s="21"/>
      <c r="F20" s="35"/>
      <c r="G20" s="35"/>
      <c r="H20" s="30"/>
    </row>
    <row r="21" spans="2:8" ht="15.75" customHeight="1" x14ac:dyDescent="0.25">
      <c r="B21" s="18"/>
      <c r="C21" s="34" t="s">
        <v>27</v>
      </c>
      <c r="D21" s="80">
        <f>D8+(-D8+D19)*D9</f>
        <v>1381788.8000000003</v>
      </c>
      <c r="E21" s="21"/>
      <c r="F21" s="35"/>
      <c r="G21" s="35"/>
      <c r="H21" s="30"/>
    </row>
    <row r="22" spans="2:8" ht="15.75" customHeight="1" thickBot="1" x14ac:dyDescent="0.25">
      <c r="B22" s="23"/>
      <c r="C22" s="39"/>
      <c r="D22" s="236"/>
      <c r="E22" s="237"/>
      <c r="F22" s="35"/>
      <c r="G22" s="35"/>
      <c r="H22" s="30"/>
    </row>
    <row r="23" spans="2:8" ht="15.75" customHeight="1" x14ac:dyDescent="0.2">
      <c r="B23" s="30"/>
      <c r="C23" s="36"/>
      <c r="D23" s="37"/>
      <c r="E23" s="38"/>
      <c r="F23" s="35"/>
      <c r="G23" s="35"/>
      <c r="H23" s="30"/>
    </row>
    <row r="24" spans="2:8" ht="15.75" customHeight="1" x14ac:dyDescent="0.2">
      <c r="B24" s="30"/>
      <c r="C24" s="36"/>
      <c r="D24" s="37"/>
      <c r="E24" s="38"/>
      <c r="F24" s="35"/>
      <c r="G24" s="35"/>
      <c r="H24" s="30"/>
    </row>
    <row r="25" spans="2:8" ht="15.75" customHeight="1" x14ac:dyDescent="0.2">
      <c r="B25" s="30"/>
      <c r="C25" s="36"/>
      <c r="D25" s="37"/>
      <c r="E25" s="38"/>
      <c r="F25" s="35"/>
      <c r="G25" s="35"/>
      <c r="H25" s="30"/>
    </row>
    <row r="26" spans="2:8" ht="15.75" customHeight="1" x14ac:dyDescent="0.2">
      <c r="B26" s="30"/>
      <c r="C26" s="30"/>
      <c r="D26" s="30"/>
      <c r="E26" s="30"/>
      <c r="F26" s="30"/>
      <c r="G26" s="30"/>
      <c r="H26" s="30"/>
    </row>
    <row r="27" spans="2:8" ht="15.75" customHeight="1" x14ac:dyDescent="0.2">
      <c r="B27" s="14"/>
      <c r="C27" s="14"/>
      <c r="D27" s="14"/>
      <c r="E27" s="14"/>
      <c r="F27" s="14"/>
      <c r="G27" s="14"/>
      <c r="H27" s="14"/>
    </row>
    <row r="28" spans="2:8" ht="15.75" customHeight="1" x14ac:dyDescent="0.2"/>
    <row r="29" spans="2:8" ht="15.75" customHeight="1" x14ac:dyDescent="0.2">
      <c r="D29" s="26"/>
    </row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9.140625" customWidth="1"/>
  </cols>
  <sheetData>
    <row r="1" spans="2:7" ht="18" customHeight="1" x14ac:dyDescent="0.25">
      <c r="C1" s="1" t="s">
        <v>412</v>
      </c>
    </row>
    <row r="2" spans="2:7" ht="15.75" customHeight="1" x14ac:dyDescent="0.2">
      <c r="C2" s="3" t="s">
        <v>193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30</v>
      </c>
      <c r="D7" s="83">
        <v>4100000</v>
      </c>
      <c r="E7" s="9"/>
      <c r="G7" s="57"/>
    </row>
    <row r="8" spans="2:7" ht="15.75" customHeight="1" x14ac:dyDescent="0.2">
      <c r="B8" s="8"/>
      <c r="C8" s="13" t="s">
        <v>10</v>
      </c>
      <c r="D8" s="83">
        <v>2350000</v>
      </c>
      <c r="E8" s="9"/>
      <c r="G8" s="57"/>
    </row>
    <row r="9" spans="2:7" ht="15.75" customHeight="1" x14ac:dyDescent="0.2">
      <c r="B9" s="8"/>
      <c r="C9" s="13" t="s">
        <v>33</v>
      </c>
      <c r="D9" s="94"/>
      <c r="E9" s="9"/>
      <c r="G9" s="57"/>
    </row>
    <row r="10" spans="2:7" ht="15.75" customHeight="1" x14ac:dyDescent="0.2">
      <c r="B10" s="8"/>
      <c r="C10" s="13" t="s">
        <v>35</v>
      </c>
      <c r="D10" s="89">
        <v>4</v>
      </c>
      <c r="E10" s="9"/>
      <c r="G10" s="57"/>
    </row>
    <row r="11" spans="2:7" ht="15.75" customHeight="1" x14ac:dyDescent="0.2">
      <c r="B11" s="8"/>
      <c r="C11" s="13" t="s">
        <v>191</v>
      </c>
      <c r="D11" s="151">
        <v>0.25</v>
      </c>
      <c r="E11" s="9"/>
    </row>
    <row r="12" spans="2:7" ht="15.75" customHeight="1" x14ac:dyDescent="0.2">
      <c r="B12" s="8"/>
      <c r="C12" s="13" t="s">
        <v>87</v>
      </c>
      <c r="D12" s="83">
        <v>150000</v>
      </c>
      <c r="E12" s="9"/>
    </row>
    <row r="13" spans="2:7" ht="15.75" customHeight="1" x14ac:dyDescent="0.2">
      <c r="B13" s="8"/>
      <c r="C13" s="13" t="s">
        <v>6</v>
      </c>
      <c r="D13" s="82">
        <v>0.25</v>
      </c>
      <c r="E13" s="9"/>
    </row>
    <row r="14" spans="2:7" ht="15.75" customHeight="1" x14ac:dyDescent="0.2">
      <c r="B14" s="8"/>
      <c r="C14" s="13" t="s">
        <v>19</v>
      </c>
      <c r="D14" s="82">
        <v>0.13</v>
      </c>
      <c r="E14" s="9"/>
    </row>
    <row r="15" spans="2:7" ht="15.75" customHeight="1" thickBot="1" x14ac:dyDescent="0.25">
      <c r="B15" s="10"/>
      <c r="C15" s="11"/>
      <c r="D15" s="11"/>
      <c r="E15" s="12"/>
    </row>
    <row r="16" spans="2:7" ht="15.75" customHeight="1" x14ac:dyDescent="0.2"/>
    <row r="17" spans="2:8" ht="15.75" customHeight="1" x14ac:dyDescent="0.2">
      <c r="C17" s="2" t="s">
        <v>2</v>
      </c>
    </row>
    <row r="18" spans="2:8" ht="15.75" customHeight="1" thickBot="1" x14ac:dyDescent="0.25"/>
    <row r="19" spans="2:8" ht="15.75" customHeight="1" x14ac:dyDescent="0.2">
      <c r="B19" s="15"/>
      <c r="C19" s="16"/>
      <c r="D19" s="16"/>
      <c r="E19" s="17"/>
      <c r="F19" s="30"/>
      <c r="G19" s="30"/>
      <c r="H19" s="30"/>
    </row>
    <row r="20" spans="2:8" ht="15.75" customHeight="1" x14ac:dyDescent="0.2">
      <c r="B20" s="18"/>
      <c r="C20" s="19" t="s">
        <v>88</v>
      </c>
      <c r="D20" s="20"/>
      <c r="E20" s="21"/>
      <c r="F20" s="30"/>
      <c r="G20" s="30"/>
      <c r="H20" s="30"/>
    </row>
    <row r="21" spans="2:8" ht="15.75" customHeight="1" x14ac:dyDescent="0.2">
      <c r="B21" s="18"/>
      <c r="C21" s="19" t="s">
        <v>160</v>
      </c>
      <c r="D21" s="78">
        <f>-D7</f>
        <v>-4100000</v>
      </c>
      <c r="E21" s="21"/>
      <c r="F21" s="30"/>
      <c r="G21" s="30"/>
      <c r="H21" s="30"/>
    </row>
    <row r="22" spans="2:8" ht="15.75" customHeight="1" x14ac:dyDescent="0.2">
      <c r="B22" s="18"/>
      <c r="C22" s="19" t="s">
        <v>184</v>
      </c>
      <c r="D22" s="81">
        <f>-D12</f>
        <v>-150000</v>
      </c>
      <c r="E22" s="21"/>
      <c r="F22" s="30"/>
      <c r="G22" s="30"/>
      <c r="H22" s="30"/>
    </row>
    <row r="23" spans="2:8" ht="15.75" customHeight="1" x14ac:dyDescent="0.2">
      <c r="B23" s="18"/>
      <c r="C23" s="19" t="s">
        <v>192</v>
      </c>
      <c r="D23" s="78">
        <f>D21+D22</f>
        <v>-4250000</v>
      </c>
      <c r="E23" s="21"/>
      <c r="F23" s="30"/>
      <c r="G23" s="30"/>
      <c r="H23" s="30"/>
    </row>
    <row r="24" spans="2:8" ht="15.75" customHeight="1" x14ac:dyDescent="0.2">
      <c r="B24" s="18"/>
      <c r="C24" s="19"/>
      <c r="D24" s="20"/>
      <c r="E24" s="21"/>
      <c r="F24" s="30"/>
      <c r="G24" s="30"/>
      <c r="H24" s="30"/>
    </row>
    <row r="25" spans="2:8" ht="15.75" customHeight="1" x14ac:dyDescent="0.2">
      <c r="B25" s="18"/>
      <c r="C25" s="19" t="s">
        <v>10</v>
      </c>
      <c r="D25" s="95">
        <f>D8</f>
        <v>2350000</v>
      </c>
      <c r="E25" s="21"/>
      <c r="F25" s="30"/>
      <c r="G25" s="30"/>
      <c r="H25" s="30"/>
    </row>
    <row r="26" spans="2:8" ht="15.75" customHeight="1" x14ac:dyDescent="0.2">
      <c r="B26" s="18"/>
      <c r="C26" s="19" t="s">
        <v>14</v>
      </c>
      <c r="D26" s="138">
        <f>D25*D11</f>
        <v>587500</v>
      </c>
      <c r="E26" s="22"/>
      <c r="F26" s="30"/>
      <c r="G26" s="30"/>
      <c r="H26" s="31"/>
    </row>
    <row r="27" spans="2:8" ht="15.75" customHeight="1" x14ac:dyDescent="0.2">
      <c r="B27" s="18"/>
      <c r="C27" s="19" t="s">
        <v>5</v>
      </c>
      <c r="D27" s="225">
        <f>D7/D10</f>
        <v>1025000</v>
      </c>
      <c r="E27" s="21"/>
      <c r="F27" s="30"/>
      <c r="G27" s="30"/>
      <c r="H27" s="30"/>
    </row>
    <row r="28" spans="2:8" ht="15.75" customHeight="1" x14ac:dyDescent="0.2">
      <c r="B28" s="18"/>
      <c r="C28" s="19" t="s">
        <v>8</v>
      </c>
      <c r="D28" s="95">
        <f>D25-D26-D27</f>
        <v>737500</v>
      </c>
      <c r="E28" s="21"/>
      <c r="F28" s="30"/>
      <c r="G28" s="30"/>
      <c r="H28" s="30"/>
    </row>
    <row r="29" spans="2:8" ht="15.75" customHeight="1" x14ac:dyDescent="0.2">
      <c r="B29" s="18"/>
      <c r="C29" s="224" t="s">
        <v>150</v>
      </c>
      <c r="D29" s="225">
        <f>D28*D13</f>
        <v>184375</v>
      </c>
      <c r="E29" s="21"/>
      <c r="F29" s="30"/>
      <c r="G29" s="30"/>
      <c r="H29" s="30"/>
    </row>
    <row r="30" spans="2:8" ht="15.75" customHeight="1" x14ac:dyDescent="0.2">
      <c r="B30" s="18"/>
      <c r="C30" s="19" t="s">
        <v>110</v>
      </c>
      <c r="D30" s="95">
        <f>D28-D29</f>
        <v>553125</v>
      </c>
      <c r="E30" s="21"/>
      <c r="F30" s="30"/>
      <c r="G30" s="30"/>
      <c r="H30" s="30"/>
    </row>
    <row r="31" spans="2:8" ht="15.75" customHeight="1" x14ac:dyDescent="0.2">
      <c r="B31" s="18"/>
      <c r="C31" s="19"/>
      <c r="D31" s="95"/>
      <c r="E31" s="21"/>
      <c r="F31" s="30"/>
      <c r="G31" s="30"/>
      <c r="H31" s="30"/>
    </row>
    <row r="32" spans="2:8" ht="15.75" customHeight="1" x14ac:dyDescent="0.2">
      <c r="B32" s="18"/>
      <c r="C32" s="19" t="s">
        <v>11</v>
      </c>
      <c r="D32" s="95">
        <f>D30+D27</f>
        <v>1578125</v>
      </c>
      <c r="E32" s="21"/>
      <c r="F32" s="30"/>
      <c r="G32" s="30"/>
      <c r="H32" s="30"/>
    </row>
    <row r="33" spans="2:8" ht="15.75" customHeight="1" x14ac:dyDescent="0.2">
      <c r="B33" s="18"/>
      <c r="C33" s="19"/>
      <c r="D33" s="95"/>
      <c r="E33" s="21"/>
      <c r="F33" s="30"/>
      <c r="G33" s="30"/>
      <c r="H33" s="30"/>
    </row>
    <row r="34" spans="2:8" ht="15.75" customHeight="1" x14ac:dyDescent="0.2">
      <c r="B34" s="18"/>
      <c r="C34" s="155" t="s">
        <v>23</v>
      </c>
      <c r="D34" s="238" t="s">
        <v>24</v>
      </c>
      <c r="E34" s="21"/>
      <c r="F34" s="30"/>
      <c r="G34" s="30"/>
      <c r="H34" s="30"/>
    </row>
    <row r="35" spans="2:8" ht="15.75" customHeight="1" x14ac:dyDescent="0.2">
      <c r="B35" s="18"/>
      <c r="C35" s="75">
        <v>0</v>
      </c>
      <c r="D35" s="95">
        <f>D23</f>
        <v>-4250000</v>
      </c>
      <c r="E35" s="21"/>
      <c r="F35" s="30"/>
      <c r="G35" s="30"/>
      <c r="H35" s="30"/>
    </row>
    <row r="36" spans="2:8" ht="15.75" customHeight="1" x14ac:dyDescent="0.2">
      <c r="B36" s="18"/>
      <c r="C36" s="75">
        <v>1</v>
      </c>
      <c r="D36" s="138">
        <f>D32</f>
        <v>1578125</v>
      </c>
      <c r="E36" s="21"/>
      <c r="F36" s="30"/>
      <c r="G36" s="30"/>
      <c r="H36" s="30"/>
    </row>
    <row r="37" spans="2:8" ht="15.75" customHeight="1" x14ac:dyDescent="0.2">
      <c r="B37" s="18"/>
      <c r="C37" s="75">
        <v>2</v>
      </c>
      <c r="D37" s="138">
        <f>D32</f>
        <v>1578125</v>
      </c>
      <c r="E37" s="21"/>
      <c r="F37" s="30"/>
      <c r="G37" s="30"/>
      <c r="H37" s="30"/>
    </row>
    <row r="38" spans="2:8" ht="15.75" customHeight="1" x14ac:dyDescent="0.2">
      <c r="B38" s="18"/>
      <c r="C38" s="75">
        <v>3</v>
      </c>
      <c r="D38" s="138">
        <f>D32</f>
        <v>1578125</v>
      </c>
      <c r="E38" s="21"/>
      <c r="F38" s="30"/>
      <c r="G38" s="30"/>
      <c r="H38" s="30"/>
    </row>
    <row r="39" spans="2:8" ht="15.75" customHeight="1" x14ac:dyDescent="0.2">
      <c r="B39" s="18"/>
      <c r="C39" s="75">
        <v>4</v>
      </c>
      <c r="D39" s="138">
        <f>D32+D12</f>
        <v>1728125</v>
      </c>
      <c r="E39" s="21"/>
      <c r="F39" s="30"/>
      <c r="G39" s="30"/>
      <c r="H39" s="30"/>
    </row>
    <row r="40" spans="2:8" ht="15.75" customHeight="1" x14ac:dyDescent="0.2">
      <c r="B40" s="18"/>
      <c r="C40" s="19"/>
      <c r="D40" s="95"/>
      <c r="E40" s="21"/>
      <c r="F40" s="30"/>
      <c r="G40" s="30"/>
      <c r="H40" s="30"/>
    </row>
    <row r="41" spans="2:8" ht="15.75" customHeight="1" x14ac:dyDescent="0.25">
      <c r="B41" s="18"/>
      <c r="C41" s="19" t="s">
        <v>20</v>
      </c>
      <c r="D41" s="170">
        <f>NPV(D14,D36:D39)+D35</f>
        <v>536085.36977486033</v>
      </c>
      <c r="E41" s="21"/>
      <c r="F41" s="30"/>
      <c r="G41" s="30"/>
      <c r="H41" s="30"/>
    </row>
    <row r="42" spans="2:8" ht="15.75" customHeight="1" thickBot="1" x14ac:dyDescent="0.25">
      <c r="B42" s="23"/>
      <c r="C42" s="53"/>
      <c r="D42" s="53"/>
      <c r="E42" s="25"/>
      <c r="F42" s="30"/>
      <c r="G42" s="30"/>
      <c r="H42" s="30"/>
    </row>
    <row r="43" spans="2:8" ht="15.75" customHeight="1" x14ac:dyDescent="0.2">
      <c r="B43" s="14"/>
      <c r="C43" s="14"/>
      <c r="D43" s="14"/>
      <c r="E43" s="14"/>
      <c r="F43" s="14"/>
      <c r="G43" s="14"/>
      <c r="H43" s="14"/>
    </row>
    <row r="44" spans="2:8" ht="15.75" customHeight="1" x14ac:dyDescent="0.2"/>
    <row r="45" spans="2:8" ht="15.75" customHeight="1" x14ac:dyDescent="0.2">
      <c r="D45" s="26"/>
    </row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6" max="7" width="18.140625" customWidth="1"/>
    <col min="8" max="8" width="9.14062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194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44</v>
      </c>
      <c r="D7" s="4"/>
      <c r="E7" s="9"/>
      <c r="G7" s="57"/>
    </row>
    <row r="8" spans="2:7" ht="15.75" customHeight="1" x14ac:dyDescent="0.2">
      <c r="B8" s="8"/>
      <c r="C8" s="13" t="s">
        <v>45</v>
      </c>
      <c r="D8" s="83">
        <v>265000</v>
      </c>
      <c r="E8" s="9"/>
    </row>
    <row r="9" spans="2:7" ht="15.75" customHeight="1" x14ac:dyDescent="0.2">
      <c r="B9" s="8"/>
      <c r="C9" s="13" t="s">
        <v>46</v>
      </c>
      <c r="D9" s="83">
        <v>41000</v>
      </c>
      <c r="E9" s="9"/>
    </row>
    <row r="10" spans="2:7" ht="15.75" customHeight="1" x14ac:dyDescent="0.2">
      <c r="B10" s="8"/>
      <c r="C10" s="13" t="s">
        <v>47</v>
      </c>
      <c r="D10" s="171">
        <v>3</v>
      </c>
      <c r="E10" s="9"/>
    </row>
    <row r="11" spans="2:7" ht="15.75" customHeight="1" x14ac:dyDescent="0.2">
      <c r="B11" s="8"/>
      <c r="C11" s="13" t="s">
        <v>48</v>
      </c>
      <c r="D11" s="82"/>
      <c r="E11" s="9"/>
    </row>
    <row r="12" spans="2:7" ht="15.75" customHeight="1" x14ac:dyDescent="0.2">
      <c r="B12" s="8"/>
      <c r="C12" s="13" t="s">
        <v>45</v>
      </c>
      <c r="D12" s="83">
        <v>330000</v>
      </c>
      <c r="E12" s="9"/>
    </row>
    <row r="13" spans="2:7" ht="15.75" customHeight="1" x14ac:dyDescent="0.2">
      <c r="B13" s="8"/>
      <c r="C13" s="13" t="s">
        <v>46</v>
      </c>
      <c r="D13" s="83">
        <v>52000</v>
      </c>
      <c r="E13" s="9"/>
    </row>
    <row r="14" spans="2:7" ht="15.75" customHeight="1" x14ac:dyDescent="0.2">
      <c r="B14" s="8"/>
      <c r="C14" s="13" t="s">
        <v>47</v>
      </c>
      <c r="D14" s="94">
        <v>5</v>
      </c>
      <c r="E14" s="9"/>
    </row>
    <row r="15" spans="2:7" ht="15.75" customHeight="1" x14ac:dyDescent="0.2">
      <c r="B15" s="8"/>
      <c r="C15" s="13" t="s">
        <v>49</v>
      </c>
      <c r="D15" s="94"/>
      <c r="E15" s="9"/>
    </row>
    <row r="16" spans="2:7" ht="15.75" customHeight="1" x14ac:dyDescent="0.2">
      <c r="B16" s="8"/>
      <c r="C16" s="13" t="s">
        <v>50</v>
      </c>
      <c r="D16" s="83">
        <v>25000</v>
      </c>
      <c r="E16" s="9"/>
    </row>
    <row r="17" spans="2:8" ht="15.75" customHeight="1" x14ac:dyDescent="0.2">
      <c r="B17" s="8"/>
      <c r="C17" s="13" t="s">
        <v>6</v>
      </c>
      <c r="D17" s="82">
        <v>0.21</v>
      </c>
      <c r="E17" s="9"/>
    </row>
    <row r="18" spans="2:8" ht="15.75" customHeight="1" x14ac:dyDescent="0.2">
      <c r="B18" s="8"/>
      <c r="C18" s="13" t="s">
        <v>31</v>
      </c>
      <c r="D18" s="82">
        <v>0.09</v>
      </c>
      <c r="E18" s="9"/>
    </row>
    <row r="19" spans="2:8" ht="15.75" customHeight="1" x14ac:dyDescent="0.2">
      <c r="B19" s="8"/>
      <c r="C19" s="13" t="s">
        <v>51</v>
      </c>
      <c r="D19" s="59"/>
      <c r="E19" s="9"/>
    </row>
    <row r="20" spans="2:8" ht="15.75" customHeight="1" thickBot="1" x14ac:dyDescent="0.25">
      <c r="B20" s="10"/>
      <c r="C20" s="28"/>
      <c r="D20" s="61"/>
      <c r="E20" s="12"/>
    </row>
    <row r="21" spans="2:8" ht="15.75" customHeight="1" x14ac:dyDescent="0.2"/>
    <row r="22" spans="2:8" ht="15.75" customHeight="1" x14ac:dyDescent="0.2">
      <c r="C22" s="2" t="s">
        <v>2</v>
      </c>
    </row>
    <row r="23" spans="2:8" ht="15.75" customHeight="1" thickBot="1" x14ac:dyDescent="0.25"/>
    <row r="24" spans="2:8" ht="15.75" customHeight="1" x14ac:dyDescent="0.2">
      <c r="B24" s="15"/>
      <c r="C24" s="16"/>
      <c r="D24" s="16"/>
      <c r="E24" s="16"/>
      <c r="F24" s="16"/>
      <c r="G24" s="17"/>
      <c r="H24" s="30"/>
    </row>
    <row r="25" spans="2:8" ht="15.75" customHeight="1" x14ac:dyDescent="0.2">
      <c r="B25" s="18"/>
      <c r="C25" s="19" t="s">
        <v>52</v>
      </c>
      <c r="D25" s="62"/>
      <c r="E25" s="20"/>
      <c r="F25" s="20"/>
      <c r="G25" s="21"/>
      <c r="H25" s="30"/>
    </row>
    <row r="26" spans="2:8" ht="15.75" customHeight="1" x14ac:dyDescent="0.2">
      <c r="B26" s="18"/>
      <c r="C26" s="19" t="s">
        <v>27</v>
      </c>
      <c r="D26" s="140">
        <f>D16*(1-D17)</f>
        <v>19750</v>
      </c>
      <c r="E26" s="20"/>
      <c r="F26" s="20"/>
      <c r="G26" s="21"/>
      <c r="H26" s="30"/>
    </row>
    <row r="27" spans="2:8" ht="15.75" customHeight="1" x14ac:dyDescent="0.2">
      <c r="B27" s="18"/>
      <c r="C27" s="19" t="s">
        <v>53</v>
      </c>
      <c r="D27" s="140"/>
      <c r="E27" s="20"/>
      <c r="F27" s="20"/>
      <c r="G27" s="21"/>
      <c r="H27" s="30"/>
    </row>
    <row r="28" spans="2:8" ht="15.75" customHeight="1" x14ac:dyDescent="0.2">
      <c r="B28" s="18"/>
      <c r="C28" s="19" t="s">
        <v>11</v>
      </c>
      <c r="D28" s="140">
        <f>(-D9)*(1-D17)+D17*(D8/D10)</f>
        <v>-13840</v>
      </c>
      <c r="E28" s="20"/>
      <c r="F28" s="20"/>
      <c r="G28" s="21"/>
      <c r="H28" s="30"/>
    </row>
    <row r="29" spans="2:8" ht="15.75" customHeight="1" x14ac:dyDescent="0.2">
      <c r="B29" s="18"/>
      <c r="C29" s="19" t="s">
        <v>247</v>
      </c>
      <c r="D29" s="140">
        <f>(-D8)+PV(D18,D10,-D28,0,0)+(D26/POWER(1+D18,D10))</f>
        <v>-284782.49444607034</v>
      </c>
      <c r="E29" s="19"/>
      <c r="F29" s="20"/>
      <c r="G29" s="21"/>
      <c r="H29" s="31"/>
    </row>
    <row r="30" spans="2:8" ht="15.75" customHeight="1" x14ac:dyDescent="0.25">
      <c r="B30" s="18"/>
      <c r="C30" s="19" t="s">
        <v>42</v>
      </c>
      <c r="D30" s="137">
        <f>D29/PV(D18,D10,-1,0,0)</f>
        <v>-112504.67923492262</v>
      </c>
      <c r="E30" s="19"/>
      <c r="F30" s="20"/>
      <c r="G30" s="21"/>
      <c r="H30" s="31"/>
    </row>
    <row r="31" spans="2:8" ht="15.75" customHeight="1" x14ac:dyDescent="0.2">
      <c r="B31" s="18"/>
      <c r="C31" s="19" t="s">
        <v>54</v>
      </c>
      <c r="D31" s="141"/>
      <c r="E31" s="19"/>
      <c r="F31" s="20"/>
      <c r="G31" s="21"/>
      <c r="H31" s="31"/>
    </row>
    <row r="32" spans="2:8" ht="15.75" customHeight="1" x14ac:dyDescent="0.2">
      <c r="B32" s="18"/>
      <c r="C32" s="19" t="s">
        <v>11</v>
      </c>
      <c r="D32" s="140">
        <f>(-D13*(1-D17)+D17*(D12/D14))</f>
        <v>-27220</v>
      </c>
      <c r="E32" s="19"/>
      <c r="F32" s="20"/>
      <c r="G32" s="21"/>
      <c r="H32" s="31"/>
    </row>
    <row r="33" spans="2:8" ht="15.75" customHeight="1" x14ac:dyDescent="0.2">
      <c r="B33" s="18"/>
      <c r="C33" s="19" t="s">
        <v>247</v>
      </c>
      <c r="D33" s="140">
        <f>(-D12)+PV(D18,D14,-D32,0,0)+(D26/POWER(1+D18,D14))</f>
        <v>-423040.16250904149</v>
      </c>
      <c r="E33" s="19"/>
      <c r="F33" s="20"/>
      <c r="G33" s="21"/>
      <c r="H33" s="31"/>
    </row>
    <row r="34" spans="2:8" ht="15.75" customHeight="1" x14ac:dyDescent="0.25">
      <c r="B34" s="18"/>
      <c r="C34" s="19" t="s">
        <v>42</v>
      </c>
      <c r="D34" s="137">
        <f>D33/PV(D18,D14,-1,0,0)</f>
        <v>-108760.43477083008</v>
      </c>
      <c r="E34" s="19"/>
      <c r="F34" s="20"/>
      <c r="G34" s="21"/>
      <c r="H34" s="31"/>
    </row>
    <row r="35" spans="2:8" ht="15.75" customHeight="1" x14ac:dyDescent="0.2">
      <c r="B35" s="18"/>
      <c r="C35" s="19"/>
      <c r="D35" s="62"/>
      <c r="E35" s="19"/>
      <c r="F35" s="20"/>
      <c r="G35" s="21"/>
      <c r="H35" s="31"/>
    </row>
    <row r="36" spans="2:8" ht="15.75" customHeight="1" x14ac:dyDescent="0.2">
      <c r="B36" s="18"/>
      <c r="C36" s="19" t="s">
        <v>55</v>
      </c>
      <c r="D36" s="62"/>
      <c r="E36" s="19"/>
      <c r="F36" s="20"/>
      <c r="G36" s="21"/>
      <c r="H36" s="31"/>
    </row>
    <row r="37" spans="2:8" ht="15.75" customHeight="1" x14ac:dyDescent="0.2">
      <c r="B37" s="18"/>
      <c r="C37" s="19" t="s">
        <v>56</v>
      </c>
      <c r="D37" s="62"/>
      <c r="E37" s="19"/>
      <c r="F37" s="20"/>
      <c r="G37" s="21"/>
      <c r="H37" s="31"/>
    </row>
    <row r="38" spans="2:8" ht="15.75" customHeight="1" x14ac:dyDescent="0.2">
      <c r="B38" s="18"/>
      <c r="C38" s="19" t="s">
        <v>82</v>
      </c>
      <c r="D38" s="142" t="str">
        <f>IF(D30&gt;D34,"Techron I","Techron II")</f>
        <v>Techron II</v>
      </c>
      <c r="E38" s="19" t="s">
        <v>83</v>
      </c>
      <c r="F38" s="20"/>
      <c r="G38" s="21"/>
      <c r="H38" s="31"/>
    </row>
    <row r="39" spans="2:8" ht="15.75" customHeight="1" x14ac:dyDescent="0.2">
      <c r="B39" s="18"/>
      <c r="C39" s="19" t="s">
        <v>84</v>
      </c>
      <c r="D39" s="62"/>
      <c r="E39" s="19"/>
      <c r="F39" s="20"/>
      <c r="G39" s="21"/>
      <c r="H39" s="31"/>
    </row>
    <row r="40" spans="2:8" ht="15.75" customHeight="1" thickBot="1" x14ac:dyDescent="0.25">
      <c r="B40" s="23"/>
      <c r="C40" s="53"/>
      <c r="D40" s="63"/>
      <c r="E40" s="24"/>
      <c r="F40" s="24"/>
      <c r="G40" s="25"/>
      <c r="H40" s="30"/>
    </row>
    <row r="41" spans="2:8" ht="15.75" customHeight="1" x14ac:dyDescent="0.2">
      <c r="B41" s="14"/>
      <c r="C41" s="14"/>
      <c r="D41" s="14"/>
      <c r="E41" s="14"/>
      <c r="F41" s="14"/>
      <c r="G41" s="14"/>
      <c r="H41" s="14"/>
    </row>
    <row r="42" spans="2:8" ht="15.75" customHeight="1" x14ac:dyDescent="0.2"/>
    <row r="43" spans="2:8" ht="15.75" customHeight="1" x14ac:dyDescent="0.2">
      <c r="D43" s="26"/>
    </row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</sheetData>
  <phoneticPr fontId="0" type="noConversion"/>
  <pageMargins left="0.75" right="0.75" top="1" bottom="1" header="0.5" footer="0.5"/>
  <pageSetup scale="92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140625" bestFit="1" customWidth="1"/>
    <col min="4" max="4" width="18.140625" customWidth="1"/>
    <col min="5" max="5" width="3.140625" customWidth="1"/>
    <col min="6" max="6" width="18.140625" customWidth="1"/>
    <col min="7" max="7" width="3.140625" customWidth="1"/>
    <col min="8" max="8" width="13.8554687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25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92</v>
      </c>
      <c r="D7" s="83">
        <v>670000</v>
      </c>
      <c r="E7" s="9"/>
      <c r="G7" s="57"/>
    </row>
    <row r="8" spans="2:7" ht="15.75" customHeight="1" x14ac:dyDescent="0.2">
      <c r="B8" s="8"/>
      <c r="C8" s="13" t="s">
        <v>413</v>
      </c>
      <c r="D8" s="83">
        <v>245000</v>
      </c>
      <c r="E8" s="9"/>
      <c r="G8" s="57"/>
    </row>
    <row r="9" spans="2:7" ht="15.75" customHeight="1" x14ac:dyDescent="0.2">
      <c r="B9" s="8"/>
      <c r="C9" s="13" t="s">
        <v>50</v>
      </c>
      <c r="D9" s="83">
        <v>55000</v>
      </c>
      <c r="E9" s="9"/>
    </row>
    <row r="10" spans="2:7" ht="15.75" customHeight="1" x14ac:dyDescent="0.2">
      <c r="B10" s="8"/>
      <c r="C10" s="13" t="s">
        <v>61</v>
      </c>
      <c r="D10" s="83">
        <v>20000</v>
      </c>
      <c r="E10" s="9"/>
    </row>
    <row r="11" spans="2:7" ht="15.75" customHeight="1" x14ac:dyDescent="0.2">
      <c r="B11" s="8"/>
      <c r="C11" s="13" t="s">
        <v>62</v>
      </c>
      <c r="D11" s="83">
        <v>2500</v>
      </c>
      <c r="E11" s="9"/>
    </row>
    <row r="12" spans="2:7" ht="15.75" customHeight="1" x14ac:dyDescent="0.2">
      <c r="B12" s="8"/>
      <c r="C12" s="13" t="s">
        <v>6</v>
      </c>
      <c r="D12" s="82">
        <v>0.23</v>
      </c>
      <c r="E12" s="9"/>
    </row>
    <row r="13" spans="2:7" ht="15.75" customHeight="1" x14ac:dyDescent="0.2">
      <c r="B13" s="8"/>
      <c r="C13" s="13" t="s">
        <v>31</v>
      </c>
      <c r="D13" s="82">
        <v>0.08</v>
      </c>
      <c r="E13" s="9"/>
    </row>
    <row r="14" spans="2:7" ht="15.75" customHeight="1" x14ac:dyDescent="0.2">
      <c r="B14" s="8"/>
      <c r="C14" s="13" t="s">
        <v>432</v>
      </c>
      <c r="D14" s="145">
        <v>0.2</v>
      </c>
      <c r="E14" s="9"/>
    </row>
    <row r="15" spans="2:7" ht="15.75" customHeight="1" x14ac:dyDescent="0.2">
      <c r="B15" s="8"/>
      <c r="C15" s="13"/>
      <c r="D15" s="145">
        <v>0.32</v>
      </c>
      <c r="E15" s="9"/>
    </row>
    <row r="16" spans="2:7" ht="15.75" customHeight="1" x14ac:dyDescent="0.2">
      <c r="B16" s="8"/>
      <c r="C16" s="13"/>
      <c r="D16" s="145">
        <v>0.192</v>
      </c>
      <c r="E16" s="9"/>
    </row>
    <row r="17" spans="2:8" ht="15.75" customHeight="1" x14ac:dyDescent="0.2">
      <c r="B17" s="8"/>
      <c r="C17" s="13"/>
      <c r="D17" s="145">
        <v>0.1152</v>
      </c>
      <c r="E17" s="9"/>
    </row>
    <row r="18" spans="2:8" ht="15.75" customHeight="1" thickBot="1" x14ac:dyDescent="0.25">
      <c r="B18" s="10"/>
      <c r="C18" s="65"/>
      <c r="D18" s="65"/>
      <c r="E18" s="12"/>
    </row>
    <row r="19" spans="2:8" ht="15.75" customHeight="1" x14ac:dyDescent="0.2">
      <c r="B19" s="64"/>
      <c r="E19" s="64"/>
    </row>
    <row r="20" spans="2:8" ht="15.75" customHeight="1" x14ac:dyDescent="0.2">
      <c r="C20" s="2" t="s">
        <v>2</v>
      </c>
    </row>
    <row r="21" spans="2:8" ht="15.75" customHeight="1" thickBot="1" x14ac:dyDescent="0.25"/>
    <row r="22" spans="2:8" ht="15.75" customHeight="1" x14ac:dyDescent="0.2">
      <c r="B22" s="68"/>
      <c r="C22" s="69"/>
      <c r="D22" s="69"/>
      <c r="E22" s="69"/>
      <c r="F22" s="69"/>
      <c r="G22" s="72"/>
      <c r="H22" s="14"/>
    </row>
    <row r="23" spans="2:8" ht="15.75" customHeight="1" x14ac:dyDescent="0.2">
      <c r="B23" s="70"/>
      <c r="C23" s="87" t="s">
        <v>23</v>
      </c>
      <c r="D23" s="135" t="s">
        <v>5</v>
      </c>
      <c r="E23" s="19"/>
      <c r="F23" s="75"/>
      <c r="G23" s="22"/>
      <c r="H23" s="30"/>
    </row>
    <row r="24" spans="2:8" ht="15.75" customHeight="1" x14ac:dyDescent="0.2">
      <c r="B24" s="70"/>
      <c r="C24" s="132">
        <v>1</v>
      </c>
      <c r="D24" s="95">
        <f>D7*D14</f>
        <v>134000</v>
      </c>
      <c r="E24" s="73"/>
      <c r="F24" s="76"/>
      <c r="G24" s="22"/>
      <c r="H24" s="30"/>
    </row>
    <row r="25" spans="2:8" ht="15.75" customHeight="1" x14ac:dyDescent="0.2">
      <c r="B25" s="70"/>
      <c r="C25" s="132">
        <v>2</v>
      </c>
      <c r="D25" s="95">
        <f>D7*D15</f>
        <v>214400</v>
      </c>
      <c r="E25" s="73"/>
      <c r="F25" s="76"/>
      <c r="G25" s="22"/>
      <c r="H25" s="31"/>
    </row>
    <row r="26" spans="2:8" ht="15.75" customHeight="1" x14ac:dyDescent="0.2">
      <c r="B26" s="70"/>
      <c r="C26" s="132">
        <v>3</v>
      </c>
      <c r="D26" s="95">
        <f>D7*D16</f>
        <v>128640</v>
      </c>
      <c r="E26" s="73"/>
      <c r="F26" s="76"/>
      <c r="G26" s="22"/>
      <c r="H26" s="30"/>
    </row>
    <row r="27" spans="2:8" ht="15.75" customHeight="1" x14ac:dyDescent="0.2">
      <c r="B27" s="70"/>
      <c r="C27" s="132">
        <v>4</v>
      </c>
      <c r="D27" s="95">
        <f>D7*D17</f>
        <v>77184</v>
      </c>
      <c r="E27" s="73"/>
      <c r="F27" s="76"/>
      <c r="G27" s="22"/>
      <c r="H27" s="30"/>
    </row>
    <row r="28" spans="2:8" ht="15.75" customHeight="1" x14ac:dyDescent="0.2">
      <c r="B28" s="70"/>
      <c r="C28" s="19"/>
      <c r="D28" s="34"/>
      <c r="E28" s="19"/>
      <c r="F28" s="19"/>
      <c r="G28" s="22"/>
      <c r="H28" s="30"/>
    </row>
    <row r="29" spans="2:8" ht="15.75" customHeight="1" x14ac:dyDescent="0.2">
      <c r="B29" s="70"/>
      <c r="C29" s="19" t="s">
        <v>26</v>
      </c>
      <c r="D29" s="222">
        <f>D7-D24-D25-D26-D27</f>
        <v>115776</v>
      </c>
      <c r="E29" s="19"/>
      <c r="F29" s="19"/>
      <c r="G29" s="22"/>
      <c r="H29" s="30"/>
    </row>
    <row r="30" spans="2:8" ht="15.75" customHeight="1" x14ac:dyDescent="0.2">
      <c r="B30" s="70"/>
      <c r="C30" s="19" t="s">
        <v>27</v>
      </c>
      <c r="D30" s="222">
        <f>D9+(D29-D9)*D12</f>
        <v>68978.48</v>
      </c>
      <c r="E30" s="19"/>
      <c r="F30" s="54"/>
      <c r="G30" s="22"/>
      <c r="H30" s="30"/>
    </row>
    <row r="31" spans="2:8" ht="15.75" customHeight="1" x14ac:dyDescent="0.2">
      <c r="B31" s="70"/>
      <c r="C31" s="19"/>
      <c r="D31" s="34"/>
      <c r="E31" s="19"/>
      <c r="F31" s="19"/>
      <c r="G31" s="22"/>
      <c r="H31" s="30"/>
    </row>
    <row r="32" spans="2:8" ht="15.75" customHeight="1" x14ac:dyDescent="0.2">
      <c r="B32" s="70"/>
      <c r="C32" s="87" t="s">
        <v>23</v>
      </c>
      <c r="D32" s="147" t="s">
        <v>11</v>
      </c>
      <c r="E32" s="19"/>
      <c r="F32" s="19"/>
      <c r="G32" s="22"/>
      <c r="H32" s="30"/>
    </row>
    <row r="33" spans="1:8" ht="15.75" customHeight="1" x14ac:dyDescent="0.2">
      <c r="B33" s="70"/>
      <c r="C33" s="19">
        <v>1</v>
      </c>
      <c r="D33" s="222">
        <f>($D$8*(1-$D$12)+(D24*$D$12))</f>
        <v>219470</v>
      </c>
      <c r="E33" s="19"/>
      <c r="F33" s="19"/>
      <c r="G33" s="22"/>
      <c r="H33" s="30"/>
    </row>
    <row r="34" spans="1:8" ht="15.75" customHeight="1" x14ac:dyDescent="0.2">
      <c r="B34" s="70"/>
      <c r="C34" s="19">
        <v>2</v>
      </c>
      <c r="D34" s="222">
        <f>($D$8*(1-$D$12)+(D25*$D$12))</f>
        <v>237962</v>
      </c>
      <c r="E34" s="19"/>
      <c r="F34" s="19"/>
      <c r="G34" s="22"/>
      <c r="H34" s="30"/>
    </row>
    <row r="35" spans="1:8" ht="15.75" customHeight="1" x14ac:dyDescent="0.2">
      <c r="B35" s="70"/>
      <c r="C35" s="19">
        <v>3</v>
      </c>
      <c r="D35" s="222">
        <f>($D$8*(1-$D$12)+(D26*$D$12))</f>
        <v>218237.2</v>
      </c>
      <c r="E35" s="19"/>
      <c r="F35" s="19"/>
      <c r="G35" s="22"/>
      <c r="H35" s="30"/>
    </row>
    <row r="36" spans="1:8" ht="15.75" customHeight="1" x14ac:dyDescent="0.2">
      <c r="B36" s="70"/>
      <c r="C36" s="19">
        <v>4</v>
      </c>
      <c r="D36" s="390">
        <f>($D$8*(1-$D$12)+(D27*$D$12))</f>
        <v>206402.32</v>
      </c>
      <c r="E36" s="19"/>
      <c r="F36" s="19"/>
      <c r="G36" s="22"/>
      <c r="H36" s="30"/>
    </row>
    <row r="37" spans="1:8" ht="15.75" customHeight="1" x14ac:dyDescent="0.2">
      <c r="B37" s="70"/>
      <c r="C37" s="19"/>
      <c r="D37" s="34"/>
      <c r="E37" s="19"/>
      <c r="F37" s="19"/>
      <c r="G37" s="22"/>
      <c r="H37" s="30"/>
    </row>
    <row r="38" spans="1:8" ht="15.75" customHeight="1" x14ac:dyDescent="0.2">
      <c r="B38" s="70"/>
      <c r="C38" s="87" t="s">
        <v>23</v>
      </c>
      <c r="D38" s="147" t="s">
        <v>115</v>
      </c>
      <c r="E38" s="19"/>
      <c r="F38" s="19"/>
      <c r="G38" s="22"/>
      <c r="H38" s="30"/>
    </row>
    <row r="39" spans="1:8" ht="15.75" customHeight="1" x14ac:dyDescent="0.2">
      <c r="B39" s="70"/>
      <c r="C39" s="19">
        <v>0</v>
      </c>
      <c r="D39" s="222">
        <f>-D7-D10</f>
        <v>-690000</v>
      </c>
      <c r="E39" s="19"/>
      <c r="F39" s="19"/>
      <c r="G39" s="22"/>
      <c r="H39" s="30"/>
    </row>
    <row r="40" spans="1:8" ht="15.75" customHeight="1" x14ac:dyDescent="0.2">
      <c r="B40" s="70"/>
      <c r="C40" s="19">
        <v>1</v>
      </c>
      <c r="D40" s="222">
        <f>($D$8*(1-$D$12)+(D24*$D$12))-$D$11</f>
        <v>216970</v>
      </c>
      <c r="E40" s="19"/>
      <c r="F40" s="19"/>
      <c r="G40" s="22"/>
      <c r="H40" s="30"/>
    </row>
    <row r="41" spans="1:8" ht="15.75" customHeight="1" x14ac:dyDescent="0.2">
      <c r="B41" s="70"/>
      <c r="C41" s="19">
        <v>2</v>
      </c>
      <c r="D41" s="222">
        <f>($D$8*(1-$D$12)+(D25*$D$12))-$D$11</f>
        <v>235462</v>
      </c>
      <c r="E41" s="19"/>
      <c r="F41" s="19"/>
      <c r="G41" s="22"/>
      <c r="H41" s="30"/>
    </row>
    <row r="42" spans="1:8" ht="15.75" customHeight="1" x14ac:dyDescent="0.2">
      <c r="B42" s="70"/>
      <c r="C42" s="19">
        <v>3</v>
      </c>
      <c r="D42" s="222">
        <f>($D$8*(1-$D$12)+(D26*$D$12))-$D$11</f>
        <v>215737.2</v>
      </c>
      <c r="E42" s="19"/>
      <c r="F42" s="19"/>
      <c r="G42" s="22"/>
      <c r="H42" s="30"/>
    </row>
    <row r="43" spans="1:8" ht="15.75" customHeight="1" x14ac:dyDescent="0.2">
      <c r="B43" s="70"/>
      <c r="C43" s="19">
        <v>4</v>
      </c>
      <c r="D43" s="222">
        <f>($D$8*(1-$D$12)+(D27*$D$12))+(D10+D11+D11+D11)+D30</f>
        <v>302880.8</v>
      </c>
      <c r="E43" s="19"/>
      <c r="F43" s="19"/>
      <c r="G43" s="22"/>
      <c r="H43" s="30"/>
    </row>
    <row r="44" spans="1:8" ht="15.75" customHeight="1" x14ac:dyDescent="0.2">
      <c r="B44" s="70"/>
      <c r="C44" s="19"/>
      <c r="D44" s="34"/>
      <c r="E44" s="19"/>
      <c r="F44" s="19"/>
      <c r="G44" s="22"/>
      <c r="H44" s="30"/>
    </row>
    <row r="45" spans="1:8" ht="15.75" customHeight="1" x14ac:dyDescent="0.25">
      <c r="B45" s="70"/>
      <c r="C45" s="19" t="s">
        <v>20</v>
      </c>
      <c r="D45" s="129">
        <f>NPV(D13,D40:D43)+D39</f>
        <v>106654.43624033511</v>
      </c>
      <c r="E45" s="19"/>
      <c r="F45" s="19"/>
      <c r="G45" s="22"/>
      <c r="H45" s="30"/>
    </row>
    <row r="46" spans="1:8" ht="15.75" customHeight="1" thickBot="1" x14ac:dyDescent="0.25">
      <c r="B46" s="71"/>
      <c r="C46" s="53"/>
      <c r="D46" s="67"/>
      <c r="E46" s="53"/>
      <c r="F46" s="53"/>
      <c r="G46" s="51"/>
      <c r="H46" s="30"/>
    </row>
    <row r="47" spans="1:8" ht="15.75" customHeight="1" x14ac:dyDescent="0.2">
      <c r="A47" s="44"/>
      <c r="B47" s="30"/>
      <c r="C47" s="30"/>
      <c r="D47" s="30"/>
      <c r="E47" s="30"/>
      <c r="F47" s="30"/>
      <c r="G47" s="30"/>
      <c r="H47" s="30"/>
    </row>
    <row r="48" spans="1:8" ht="15.75" customHeight="1" x14ac:dyDescent="0.2">
      <c r="A48" s="44"/>
      <c r="B48" s="14"/>
      <c r="C48" s="44"/>
      <c r="D48" s="44"/>
      <c r="E48" s="14"/>
      <c r="F48" s="14"/>
      <c r="G48" s="14"/>
      <c r="H48" s="14"/>
    </row>
    <row r="49" spans="4:4" ht="15.75" customHeight="1" x14ac:dyDescent="0.2">
      <c r="D49" s="26"/>
    </row>
    <row r="50" spans="4:4" ht="15.75" customHeight="1" x14ac:dyDescent="0.2"/>
    <row r="51" spans="4:4" ht="15.75" customHeight="1" x14ac:dyDescent="0.2"/>
    <row r="52" spans="4:4" ht="15.75" customHeight="1" x14ac:dyDescent="0.2"/>
    <row r="53" spans="4:4" ht="15.75" customHeight="1" x14ac:dyDescent="0.2"/>
    <row r="54" spans="4:4" ht="15.75" customHeight="1" x14ac:dyDescent="0.2"/>
    <row r="55" spans="4: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140625" bestFit="1" customWidth="1"/>
    <col min="4" max="4" width="18.140625" customWidth="1"/>
    <col min="5" max="5" width="3.140625" customWidth="1"/>
    <col min="6" max="6" width="18.140625" customWidth="1"/>
    <col min="7" max="7" width="3.140625" customWidth="1"/>
    <col min="8" max="8" width="13.8554687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28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92</v>
      </c>
      <c r="D7" s="430">
        <f>'#13'!D7</f>
        <v>670000</v>
      </c>
      <c r="E7" s="9"/>
      <c r="G7" s="57"/>
    </row>
    <row r="8" spans="2:7" ht="15.75" customHeight="1" x14ac:dyDescent="0.2">
      <c r="B8" s="8"/>
      <c r="C8" s="13" t="s">
        <v>413</v>
      </c>
      <c r="D8" s="430">
        <f>'#13'!D8</f>
        <v>245000</v>
      </c>
      <c r="E8" s="9"/>
      <c r="G8" s="57"/>
    </row>
    <row r="9" spans="2:7" ht="15.75" customHeight="1" x14ac:dyDescent="0.2">
      <c r="B9" s="8"/>
      <c r="C9" s="13" t="s">
        <v>50</v>
      </c>
      <c r="D9" s="430">
        <f>'#13'!D9</f>
        <v>55000</v>
      </c>
      <c r="E9" s="9"/>
    </row>
    <row r="10" spans="2:7" ht="15.75" customHeight="1" x14ac:dyDescent="0.2">
      <c r="B10" s="8"/>
      <c r="C10" s="13" t="s">
        <v>61</v>
      </c>
      <c r="D10" s="430">
        <f>'#13'!D10</f>
        <v>20000</v>
      </c>
      <c r="E10" s="9"/>
    </row>
    <row r="11" spans="2:7" ht="15.75" customHeight="1" x14ac:dyDescent="0.2">
      <c r="B11" s="8"/>
      <c r="C11" s="13" t="s">
        <v>62</v>
      </c>
      <c r="D11" s="430">
        <f>'#13'!D11</f>
        <v>2500</v>
      </c>
      <c r="E11" s="9"/>
    </row>
    <row r="12" spans="2:7" ht="15.75" customHeight="1" x14ac:dyDescent="0.2">
      <c r="B12" s="8"/>
      <c r="C12" s="13" t="s">
        <v>6</v>
      </c>
      <c r="D12" s="431">
        <f>'#13'!D12</f>
        <v>0.23</v>
      </c>
      <c r="E12" s="9"/>
    </row>
    <row r="13" spans="2:7" ht="15.75" customHeight="1" x14ac:dyDescent="0.2">
      <c r="B13" s="8"/>
      <c r="C13" s="13" t="s">
        <v>31</v>
      </c>
      <c r="D13" s="431">
        <f>'#13'!D13</f>
        <v>0.08</v>
      </c>
      <c r="E13" s="9"/>
    </row>
    <row r="14" spans="2:7" ht="15.75" customHeight="1" thickBot="1" x14ac:dyDescent="0.25">
      <c r="B14" s="10"/>
      <c r="C14" s="65"/>
      <c r="D14" s="65"/>
      <c r="E14" s="12"/>
    </row>
    <row r="15" spans="2:7" ht="15.75" customHeight="1" x14ac:dyDescent="0.2">
      <c r="B15" s="64"/>
      <c r="E15" s="64"/>
    </row>
    <row r="16" spans="2:7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68"/>
      <c r="C18" s="69"/>
      <c r="D18" s="69"/>
      <c r="E18" s="69"/>
      <c r="F18" s="69"/>
      <c r="G18" s="72"/>
      <c r="H18" s="14"/>
    </row>
    <row r="19" spans="2:8" ht="15.75" customHeight="1" x14ac:dyDescent="0.2">
      <c r="B19" s="70"/>
      <c r="C19" s="19" t="s">
        <v>27</v>
      </c>
      <c r="D19" s="222">
        <f>D9+(0-D9)*D12</f>
        <v>42350</v>
      </c>
      <c r="E19" s="19"/>
      <c r="F19" s="54"/>
      <c r="G19" s="22"/>
      <c r="H19" s="30"/>
    </row>
    <row r="20" spans="2:8" ht="15.75" customHeight="1" x14ac:dyDescent="0.2">
      <c r="B20" s="70"/>
      <c r="C20" s="19"/>
      <c r="D20" s="34"/>
      <c r="E20" s="19"/>
      <c r="F20" s="19"/>
      <c r="G20" s="22"/>
      <c r="H20" s="30"/>
    </row>
    <row r="21" spans="2:8" ht="15.75" customHeight="1" x14ac:dyDescent="0.2">
      <c r="B21" s="70"/>
      <c r="C21" s="87" t="s">
        <v>23</v>
      </c>
      <c r="D21" s="147" t="s">
        <v>11</v>
      </c>
      <c r="E21" s="19"/>
      <c r="F21" s="19"/>
      <c r="G21" s="22"/>
      <c r="H21" s="30"/>
    </row>
    <row r="22" spans="2:8" ht="15.75" customHeight="1" x14ac:dyDescent="0.2">
      <c r="B22" s="70"/>
      <c r="C22" s="19">
        <v>1</v>
      </c>
      <c r="D22" s="222">
        <f>(D8*(1-D12)+(D7*D12))</f>
        <v>342750</v>
      </c>
      <c r="E22" s="19"/>
      <c r="F22" s="19"/>
      <c r="G22" s="22"/>
      <c r="H22" s="30"/>
    </row>
    <row r="23" spans="2:8" ht="15.75" customHeight="1" x14ac:dyDescent="0.2">
      <c r="B23" s="70"/>
      <c r="C23" s="19">
        <v>2</v>
      </c>
      <c r="D23" s="222">
        <f>D8*(1-D12)</f>
        <v>188650</v>
      </c>
      <c r="E23" s="19"/>
      <c r="F23" s="19"/>
      <c r="G23" s="22"/>
      <c r="H23" s="30"/>
    </row>
    <row r="24" spans="2:8" ht="15.75" customHeight="1" x14ac:dyDescent="0.2">
      <c r="B24" s="70"/>
      <c r="C24" s="19">
        <v>3</v>
      </c>
      <c r="D24" s="222">
        <f>D8*(1-D12)</f>
        <v>188650</v>
      </c>
      <c r="E24" s="19"/>
      <c r="F24" s="19"/>
      <c r="G24" s="22"/>
      <c r="H24" s="30"/>
    </row>
    <row r="25" spans="2:8" ht="15.75" customHeight="1" x14ac:dyDescent="0.2">
      <c r="B25" s="70"/>
      <c r="C25" s="19">
        <v>4</v>
      </c>
      <c r="D25" s="390">
        <f>D8*(1-D12)</f>
        <v>188650</v>
      </c>
      <c r="E25" s="19"/>
      <c r="F25" s="19"/>
      <c r="G25" s="22"/>
      <c r="H25" s="30"/>
    </row>
    <row r="26" spans="2:8" ht="15.75" customHeight="1" x14ac:dyDescent="0.2">
      <c r="B26" s="70"/>
      <c r="C26" s="19"/>
      <c r="D26" s="34"/>
      <c r="E26" s="19"/>
      <c r="F26" s="19"/>
      <c r="G26" s="22"/>
      <c r="H26" s="30"/>
    </row>
    <row r="27" spans="2:8" ht="15.75" customHeight="1" x14ac:dyDescent="0.2">
      <c r="B27" s="70"/>
      <c r="C27" s="87" t="s">
        <v>23</v>
      </c>
      <c r="D27" s="147" t="s">
        <v>115</v>
      </c>
      <c r="E27" s="19"/>
      <c r="F27" s="19"/>
      <c r="G27" s="22"/>
      <c r="H27" s="30"/>
    </row>
    <row r="28" spans="2:8" ht="15.75" customHeight="1" x14ac:dyDescent="0.2">
      <c r="B28" s="70"/>
      <c r="C28" s="19">
        <v>0</v>
      </c>
      <c r="D28" s="222">
        <f>-D7-D10</f>
        <v>-690000</v>
      </c>
      <c r="E28" s="19"/>
      <c r="F28" s="19"/>
      <c r="G28" s="22"/>
      <c r="H28" s="30"/>
    </row>
    <row r="29" spans="2:8" ht="15.75" customHeight="1" x14ac:dyDescent="0.2">
      <c r="B29" s="70"/>
      <c r="C29" s="19">
        <v>1</v>
      </c>
      <c r="D29" s="222">
        <f>D22-D11</f>
        <v>340250</v>
      </c>
      <c r="E29" s="19"/>
      <c r="F29" s="19"/>
      <c r="G29" s="22"/>
      <c r="H29" s="30"/>
    </row>
    <row r="30" spans="2:8" ht="15.75" customHeight="1" x14ac:dyDescent="0.2">
      <c r="B30" s="70"/>
      <c r="C30" s="19">
        <v>2</v>
      </c>
      <c r="D30" s="222">
        <f>D23-D11</f>
        <v>186150</v>
      </c>
      <c r="E30" s="19"/>
      <c r="F30" s="19"/>
      <c r="G30" s="22"/>
      <c r="H30" s="30"/>
    </row>
    <row r="31" spans="2:8" ht="15.75" customHeight="1" x14ac:dyDescent="0.2">
      <c r="B31" s="70"/>
      <c r="C31" s="19">
        <v>3</v>
      </c>
      <c r="D31" s="222">
        <f>D24-D11</f>
        <v>186150</v>
      </c>
      <c r="E31" s="19"/>
      <c r="F31" s="19"/>
      <c r="G31" s="22"/>
      <c r="H31" s="30"/>
    </row>
    <row r="32" spans="2:8" ht="15.75" customHeight="1" x14ac:dyDescent="0.2">
      <c r="B32" s="70"/>
      <c r="C32" s="19">
        <v>4</v>
      </c>
      <c r="D32" s="222">
        <f>D25+(D10+D11+D11+D11)+D19</f>
        <v>258500</v>
      </c>
      <c r="E32" s="19"/>
      <c r="F32" s="19"/>
      <c r="G32" s="22"/>
      <c r="H32" s="30"/>
    </row>
    <row r="33" spans="1:8" ht="15.75" customHeight="1" x14ac:dyDescent="0.2">
      <c r="B33" s="70"/>
      <c r="C33" s="19"/>
      <c r="D33" s="34"/>
      <c r="E33" s="19"/>
      <c r="F33" s="19"/>
      <c r="G33" s="22"/>
      <c r="H33" s="30"/>
    </row>
    <row r="34" spans="1:8" ht="15.75" customHeight="1" x14ac:dyDescent="0.25">
      <c r="B34" s="70"/>
      <c r="C34" s="19" t="s">
        <v>20</v>
      </c>
      <c r="D34" s="129">
        <f>NPV(D13,D29:D32)+D28</f>
        <v>122417.00630926085</v>
      </c>
      <c r="E34" s="19"/>
      <c r="F34" s="19"/>
      <c r="G34" s="22"/>
      <c r="H34" s="30"/>
    </row>
    <row r="35" spans="1:8" ht="15.75" customHeight="1" thickBot="1" x14ac:dyDescent="0.25">
      <c r="B35" s="71"/>
      <c r="C35" s="53"/>
      <c r="D35" s="67"/>
      <c r="E35" s="53"/>
      <c r="F35" s="53"/>
      <c r="G35" s="51"/>
      <c r="H35" s="30"/>
    </row>
    <row r="36" spans="1:8" ht="15.75" customHeight="1" x14ac:dyDescent="0.2">
      <c r="A36" s="44"/>
      <c r="B36" s="30"/>
      <c r="C36" s="30"/>
      <c r="D36" s="30"/>
      <c r="E36" s="30"/>
      <c r="F36" s="30"/>
      <c r="G36" s="30"/>
      <c r="H36" s="30"/>
    </row>
    <row r="37" spans="1:8" ht="15.75" customHeight="1" x14ac:dyDescent="0.2">
      <c r="A37" s="44"/>
      <c r="B37" s="14"/>
      <c r="C37" s="44"/>
      <c r="D37" s="44"/>
      <c r="E37" s="14"/>
      <c r="F37" s="14"/>
      <c r="G37" s="14"/>
      <c r="H37" s="14"/>
    </row>
    <row r="38" spans="1:8" ht="15.75" customHeight="1" x14ac:dyDescent="0.2">
      <c r="D38" s="26"/>
    </row>
    <row r="39" spans="1:8" ht="15.75" customHeight="1" x14ac:dyDescent="0.2"/>
    <row r="40" spans="1:8" ht="15.75" customHeight="1" x14ac:dyDescent="0.2"/>
    <row r="41" spans="1:8" ht="15.75" customHeight="1" x14ac:dyDescent="0.2"/>
    <row r="42" spans="1:8" ht="15.75" customHeight="1" x14ac:dyDescent="0.2"/>
    <row r="43" spans="1:8" ht="15.75" customHeight="1" x14ac:dyDescent="0.2"/>
    <row r="44" spans="1:8" ht="15.75" customHeight="1" x14ac:dyDescent="0.2"/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2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customWidth="1"/>
    <col min="4" max="4" width="18.140625" customWidth="1"/>
    <col min="5" max="5" width="3.140625" customWidth="1"/>
    <col min="8" max="8" width="9.14062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37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66</v>
      </c>
      <c r="D7" s="27"/>
      <c r="E7" s="9"/>
      <c r="G7" s="57"/>
    </row>
    <row r="8" spans="2:7" ht="15.75" customHeight="1" x14ac:dyDescent="0.2">
      <c r="B8" s="8"/>
      <c r="C8" s="13" t="s">
        <v>57</v>
      </c>
      <c r="D8" s="83">
        <v>265000</v>
      </c>
      <c r="E8" s="9"/>
      <c r="G8" s="57"/>
    </row>
    <row r="9" spans="2:7" ht="15.75" customHeight="1" x14ac:dyDescent="0.2">
      <c r="B9" s="8"/>
      <c r="C9" s="13" t="s">
        <v>64</v>
      </c>
      <c r="D9" s="83">
        <v>73000</v>
      </c>
      <c r="E9" s="9"/>
    </row>
    <row r="10" spans="2:7" ht="15.75" customHeight="1" x14ac:dyDescent="0.2">
      <c r="B10" s="8"/>
      <c r="C10" s="13" t="s">
        <v>47</v>
      </c>
      <c r="D10" s="143">
        <v>4</v>
      </c>
      <c r="E10" s="9"/>
    </row>
    <row r="11" spans="2:7" ht="15.75" customHeight="1" x14ac:dyDescent="0.2">
      <c r="B11" s="8"/>
      <c r="C11" s="13" t="s">
        <v>65</v>
      </c>
      <c r="D11" s="144"/>
      <c r="E11" s="9"/>
    </row>
    <row r="12" spans="2:7" ht="15.75" customHeight="1" x14ac:dyDescent="0.2">
      <c r="B12" s="8"/>
      <c r="C12" s="13" t="s">
        <v>57</v>
      </c>
      <c r="D12" s="83">
        <v>380000</v>
      </c>
      <c r="E12" s="9"/>
    </row>
    <row r="13" spans="2:7" ht="15.75" customHeight="1" x14ac:dyDescent="0.2">
      <c r="B13" s="8"/>
      <c r="C13" s="13" t="s">
        <v>64</v>
      </c>
      <c r="D13" s="83">
        <v>64000</v>
      </c>
      <c r="E13" s="9"/>
    </row>
    <row r="14" spans="2:7" ht="15.75" customHeight="1" x14ac:dyDescent="0.2">
      <c r="B14" s="8"/>
      <c r="C14" s="13" t="s">
        <v>47</v>
      </c>
      <c r="D14" s="143">
        <v>6</v>
      </c>
      <c r="E14" s="9"/>
    </row>
    <row r="15" spans="2:7" ht="15.75" customHeight="1" x14ac:dyDescent="0.2">
      <c r="B15" s="8"/>
      <c r="C15" s="13" t="s">
        <v>49</v>
      </c>
      <c r="D15" s="144"/>
      <c r="E15" s="9"/>
    </row>
    <row r="16" spans="2:7" ht="15.75" customHeight="1" x14ac:dyDescent="0.2">
      <c r="B16" s="8"/>
      <c r="C16" s="13" t="s">
        <v>6</v>
      </c>
      <c r="D16" s="82">
        <v>0.23</v>
      </c>
      <c r="E16" s="9"/>
    </row>
    <row r="17" spans="2:8" ht="15.75" customHeight="1" x14ac:dyDescent="0.2">
      <c r="B17" s="8"/>
      <c r="C17" s="13" t="s">
        <v>31</v>
      </c>
      <c r="D17" s="395">
        <v>7.4999999999999997E-2</v>
      </c>
      <c r="E17" s="9"/>
    </row>
    <row r="18" spans="2:8" ht="15.75" customHeight="1" x14ac:dyDescent="0.2">
      <c r="B18" s="8"/>
      <c r="C18" s="13" t="s">
        <v>34</v>
      </c>
      <c r="D18" s="94"/>
      <c r="E18" s="9"/>
    </row>
    <row r="19" spans="2:8" ht="15.75" customHeight="1" thickBot="1" x14ac:dyDescent="0.25">
      <c r="B19" s="10"/>
      <c r="C19" s="65"/>
      <c r="D19" s="65"/>
      <c r="E19" s="12"/>
    </row>
    <row r="20" spans="2:8" ht="15.75" customHeight="1" x14ac:dyDescent="0.2">
      <c r="B20" s="64"/>
      <c r="E20" s="64"/>
    </row>
    <row r="21" spans="2:8" ht="15.75" customHeight="1" x14ac:dyDescent="0.2">
      <c r="C21" s="2" t="s">
        <v>2</v>
      </c>
    </row>
    <row r="22" spans="2:8" ht="15.75" customHeight="1" thickBot="1" x14ac:dyDescent="0.25"/>
    <row r="23" spans="2:8" ht="15.75" customHeight="1" x14ac:dyDescent="0.2">
      <c r="B23" s="15"/>
      <c r="C23" s="16"/>
      <c r="D23" s="16"/>
      <c r="E23" s="17"/>
    </row>
    <row r="24" spans="2:8" ht="15.75" customHeight="1" x14ac:dyDescent="0.2">
      <c r="B24" s="18"/>
      <c r="C24" s="19" t="s">
        <v>66</v>
      </c>
      <c r="D24" s="60"/>
      <c r="E24" s="21"/>
      <c r="F24" s="30"/>
      <c r="G24" s="30"/>
      <c r="H24" s="30"/>
    </row>
    <row r="25" spans="2:8" ht="15.75" customHeight="1" x14ac:dyDescent="0.2">
      <c r="B25" s="18"/>
      <c r="C25" s="19" t="s">
        <v>11</v>
      </c>
      <c r="D25" s="95">
        <f>(-D9*(1-D16)+D16*(D8/D10))</f>
        <v>-40972.5</v>
      </c>
      <c r="E25" s="21"/>
      <c r="F25" s="30"/>
      <c r="G25" s="30"/>
      <c r="H25" s="30"/>
    </row>
    <row r="26" spans="2:8" ht="15.75" customHeight="1" x14ac:dyDescent="0.2">
      <c r="B26" s="18"/>
      <c r="C26" s="19" t="s">
        <v>20</v>
      </c>
      <c r="D26" s="140">
        <f>(-D8)-PV(D17,D10,D25,0,0)</f>
        <v>-402230.27058316639</v>
      </c>
      <c r="E26" s="22"/>
      <c r="F26" s="30"/>
      <c r="G26" s="30"/>
      <c r="H26" s="31"/>
    </row>
    <row r="27" spans="2:8" ht="15.75" customHeight="1" x14ac:dyDescent="0.2">
      <c r="B27" s="18"/>
      <c r="C27" s="19" t="s">
        <v>65</v>
      </c>
      <c r="D27" s="78"/>
      <c r="E27" s="21"/>
      <c r="F27" s="30"/>
      <c r="G27" s="30"/>
      <c r="H27" s="30"/>
    </row>
    <row r="28" spans="2:8" ht="15.75" customHeight="1" x14ac:dyDescent="0.2">
      <c r="B28" s="18"/>
      <c r="C28" s="19" t="s">
        <v>11</v>
      </c>
      <c r="D28" s="78">
        <f>(-D13)*(1-D16)+D16*(D12/D14)</f>
        <v>-34713.333333333328</v>
      </c>
      <c r="E28" s="21"/>
      <c r="F28" s="30"/>
      <c r="G28" s="30"/>
      <c r="H28" s="30"/>
    </row>
    <row r="29" spans="2:8" ht="15.75" customHeight="1" x14ac:dyDescent="0.2">
      <c r="B29" s="18"/>
      <c r="C29" s="19" t="s">
        <v>20</v>
      </c>
      <c r="D29" s="85">
        <f>(-D12)-PV(D17,D14,D28,0,0)</f>
        <v>-542939.05540902901</v>
      </c>
      <c r="E29" s="21"/>
      <c r="F29" s="30"/>
      <c r="G29" s="30"/>
      <c r="H29" s="30"/>
    </row>
    <row r="30" spans="2:8" ht="15.75" customHeight="1" x14ac:dyDescent="0.2">
      <c r="B30" s="18"/>
      <c r="C30" s="19"/>
      <c r="D30" s="85"/>
      <c r="E30" s="21"/>
      <c r="F30" s="30"/>
      <c r="G30" s="30"/>
      <c r="H30" s="30"/>
    </row>
    <row r="31" spans="2:8" ht="15.75" customHeight="1" x14ac:dyDescent="0.2">
      <c r="B31" s="18"/>
      <c r="C31" s="19" t="s">
        <v>67</v>
      </c>
      <c r="D31" s="19"/>
      <c r="E31" s="21"/>
      <c r="F31" s="30"/>
      <c r="G31" s="30"/>
      <c r="H31" s="30"/>
    </row>
    <row r="32" spans="2:8" ht="15.75" customHeight="1" x14ac:dyDescent="0.25">
      <c r="B32" s="18"/>
      <c r="C32" s="19" t="s">
        <v>93</v>
      </c>
      <c r="D32" s="74" t="str">
        <f>IF(D26&gt;D29,"System A","System B")</f>
        <v>System A</v>
      </c>
      <c r="E32" s="21"/>
      <c r="F32" s="30"/>
      <c r="G32" s="30"/>
      <c r="H32" s="30"/>
    </row>
    <row r="33" spans="2:8" ht="15.75" customHeight="1" x14ac:dyDescent="0.2">
      <c r="B33" s="18"/>
      <c r="C33" s="19" t="s">
        <v>423</v>
      </c>
      <c r="D33" s="19"/>
      <c r="E33" s="21"/>
      <c r="F33" s="30"/>
      <c r="G33" s="30"/>
      <c r="H33" s="30"/>
    </row>
    <row r="34" spans="2:8" ht="15.75" customHeight="1" x14ac:dyDescent="0.2">
      <c r="B34" s="18"/>
      <c r="C34" s="19" t="s">
        <v>424</v>
      </c>
      <c r="D34" s="19"/>
      <c r="E34" s="21"/>
      <c r="F34" s="30"/>
      <c r="G34" s="30"/>
      <c r="H34" s="30"/>
    </row>
    <row r="35" spans="2:8" ht="15.75" customHeight="1" thickBot="1" x14ac:dyDescent="0.25">
      <c r="B35" s="23"/>
      <c r="C35" s="24"/>
      <c r="D35" s="24"/>
      <c r="E35" s="25"/>
      <c r="F35" s="30"/>
      <c r="G35" s="30"/>
      <c r="H35" s="30"/>
    </row>
    <row r="36" spans="2:8" ht="15.75" customHeight="1" x14ac:dyDescent="0.2">
      <c r="B36" s="14"/>
      <c r="E36" s="14"/>
      <c r="F36" s="14"/>
      <c r="G36" s="14"/>
      <c r="H36" s="14"/>
    </row>
    <row r="37" spans="2:8" ht="15.75" customHeight="1" x14ac:dyDescent="0.2">
      <c r="D37" s="26"/>
    </row>
    <row r="38" spans="2:8" ht="15.75" customHeight="1" x14ac:dyDescent="0.2"/>
    <row r="39" spans="2:8" ht="15.75" customHeight="1" x14ac:dyDescent="0.2"/>
    <row r="40" spans="2:8" ht="15.75" customHeight="1" x14ac:dyDescent="0.2"/>
    <row r="41" spans="2:8" ht="15.75" customHeight="1" x14ac:dyDescent="0.2"/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9.14062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39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66</v>
      </c>
      <c r="D7" s="27"/>
      <c r="E7" s="9"/>
      <c r="G7" s="57"/>
    </row>
    <row r="8" spans="2:7" ht="15.75" customHeight="1" x14ac:dyDescent="0.2">
      <c r="B8" s="8"/>
      <c r="C8" s="13" t="s">
        <v>247</v>
      </c>
      <c r="D8" s="148">
        <f>'#15'!D26</f>
        <v>-402230.27058316639</v>
      </c>
      <c r="E8" s="9"/>
    </row>
    <row r="9" spans="2:7" ht="15.75" customHeight="1" x14ac:dyDescent="0.2">
      <c r="B9" s="8"/>
      <c r="C9" s="13" t="s">
        <v>94</v>
      </c>
      <c r="D9" s="149">
        <f>'#15'!D10</f>
        <v>4</v>
      </c>
      <c r="E9" s="9"/>
    </row>
    <row r="10" spans="2:7" ht="15.75" customHeight="1" x14ac:dyDescent="0.2">
      <c r="B10" s="8"/>
      <c r="C10" s="13" t="s">
        <v>65</v>
      </c>
      <c r="D10" s="150"/>
      <c r="E10" s="9"/>
    </row>
    <row r="11" spans="2:7" ht="15.75" customHeight="1" x14ac:dyDescent="0.2">
      <c r="B11" s="8"/>
      <c r="C11" s="13" t="s">
        <v>247</v>
      </c>
      <c r="D11" s="148">
        <f>'#15'!D29</f>
        <v>-542939.05540902901</v>
      </c>
      <c r="E11" s="9"/>
    </row>
    <row r="12" spans="2:7" ht="15.75" customHeight="1" x14ac:dyDescent="0.2">
      <c r="B12" s="8"/>
      <c r="C12" s="13" t="s">
        <v>94</v>
      </c>
      <c r="D12" s="128">
        <f>'#15'!D14</f>
        <v>6</v>
      </c>
      <c r="E12" s="9"/>
    </row>
    <row r="13" spans="2:7" ht="15.75" customHeight="1" x14ac:dyDescent="0.2">
      <c r="B13" s="8"/>
      <c r="C13" s="13"/>
      <c r="D13" s="131"/>
      <c r="E13" s="9"/>
    </row>
    <row r="14" spans="2:7" ht="15.75" customHeight="1" x14ac:dyDescent="0.2">
      <c r="B14" s="8"/>
      <c r="C14" s="13" t="s">
        <v>31</v>
      </c>
      <c r="D14" s="130">
        <f>'#15'!D17</f>
        <v>7.4999999999999997E-2</v>
      </c>
      <c r="E14" s="9"/>
    </row>
    <row r="15" spans="2:7" ht="15.75" customHeight="1" thickBot="1" x14ac:dyDescent="0.25">
      <c r="B15" s="10"/>
      <c r="C15" s="65"/>
      <c r="D15" s="65"/>
      <c r="E15" s="12"/>
    </row>
    <row r="16" spans="2:7" ht="15.75" customHeight="1" x14ac:dyDescent="0.2">
      <c r="B16" s="64"/>
      <c r="E16" s="64"/>
    </row>
    <row r="17" spans="2:8" ht="15.75" customHeight="1" x14ac:dyDescent="0.2">
      <c r="C17" s="2" t="s">
        <v>2</v>
      </c>
    </row>
    <row r="18" spans="2:8" ht="15.75" customHeight="1" thickBot="1" x14ac:dyDescent="0.25"/>
    <row r="19" spans="2:8" ht="15.75" customHeight="1" x14ac:dyDescent="0.2">
      <c r="B19" s="15"/>
      <c r="C19" s="16"/>
      <c r="D19" s="16"/>
      <c r="E19" s="17"/>
    </row>
    <row r="20" spans="2:8" ht="15.75" customHeight="1" x14ac:dyDescent="0.2">
      <c r="B20" s="18"/>
      <c r="C20" s="19" t="s">
        <v>66</v>
      </c>
      <c r="D20" s="60"/>
      <c r="E20" s="21"/>
      <c r="F20" s="30"/>
      <c r="G20" s="30"/>
      <c r="H20" s="30"/>
    </row>
    <row r="21" spans="2:8" ht="15.75" customHeight="1" x14ac:dyDescent="0.25">
      <c r="B21" s="18"/>
      <c r="C21" s="19" t="s">
        <v>42</v>
      </c>
      <c r="D21" s="137">
        <f>PMT(D14,D9,-D8)</f>
        <v>-120092.88979344456</v>
      </c>
      <c r="E21" s="21"/>
      <c r="F21" s="30"/>
      <c r="G21" s="30"/>
      <c r="H21" s="30"/>
    </row>
    <row r="22" spans="2:8" ht="15.75" customHeight="1" x14ac:dyDescent="0.25">
      <c r="B22" s="18"/>
      <c r="C22" s="19" t="s">
        <v>65</v>
      </c>
      <c r="D22" s="86"/>
      <c r="E22" s="21"/>
      <c r="F22" s="30"/>
      <c r="G22" s="30"/>
      <c r="H22" s="30"/>
    </row>
    <row r="23" spans="2:8" ht="15.75" customHeight="1" x14ac:dyDescent="0.25">
      <c r="B23" s="18"/>
      <c r="C23" s="19" t="s">
        <v>42</v>
      </c>
      <c r="D23" s="129">
        <f>PMT(D14,D12,-D11)</f>
        <v>-115670.39199279882</v>
      </c>
      <c r="E23" s="21"/>
      <c r="F23" s="30"/>
      <c r="G23" s="30"/>
      <c r="H23" s="30"/>
    </row>
    <row r="24" spans="2:8" ht="15.75" customHeight="1" x14ac:dyDescent="0.25">
      <c r="B24" s="18"/>
      <c r="C24" s="19"/>
      <c r="D24" s="86"/>
      <c r="E24" s="21"/>
      <c r="F24" s="30"/>
      <c r="G24" s="30"/>
      <c r="H24" s="30"/>
    </row>
    <row r="25" spans="2:8" ht="15.75" customHeight="1" x14ac:dyDescent="0.25">
      <c r="B25" s="18"/>
      <c r="C25" s="19" t="s">
        <v>97</v>
      </c>
      <c r="D25" s="74" t="str">
        <f>IF(D21&gt;D23,"System A","System B")</f>
        <v>System B</v>
      </c>
      <c r="E25" s="21"/>
      <c r="F25" s="30"/>
      <c r="G25" s="30"/>
      <c r="H25" s="30"/>
    </row>
    <row r="26" spans="2:8" ht="15.75" customHeight="1" x14ac:dyDescent="0.2">
      <c r="B26" s="18"/>
      <c r="C26" s="19" t="s">
        <v>96</v>
      </c>
      <c r="D26" s="19"/>
      <c r="E26" s="21"/>
      <c r="F26" s="30"/>
      <c r="G26" s="30"/>
      <c r="H26" s="30"/>
    </row>
    <row r="27" spans="2:8" ht="15.75" customHeight="1" x14ac:dyDescent="0.2">
      <c r="B27" s="18"/>
      <c r="C27" s="19" t="s">
        <v>95</v>
      </c>
      <c r="D27" s="19"/>
      <c r="E27" s="21"/>
      <c r="F27" s="30"/>
      <c r="G27" s="30"/>
      <c r="H27" s="30"/>
    </row>
    <row r="28" spans="2:8" ht="15.75" customHeight="1" thickBot="1" x14ac:dyDescent="0.25">
      <c r="B28" s="23"/>
      <c r="C28" s="24"/>
      <c r="D28" s="24"/>
      <c r="E28" s="25"/>
      <c r="F28" s="30"/>
      <c r="G28" s="30"/>
      <c r="H28" s="30"/>
    </row>
    <row r="29" spans="2:8" ht="15.75" customHeight="1" x14ac:dyDescent="0.2">
      <c r="B29" s="14"/>
      <c r="E29" s="14"/>
      <c r="F29" s="14"/>
      <c r="G29" s="14"/>
      <c r="H29" s="14"/>
    </row>
    <row r="30" spans="2:8" ht="15.75" customHeight="1" x14ac:dyDescent="0.2">
      <c r="D30" s="26"/>
    </row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2" sqref="C2"/>
    </sheetView>
  </sheetViews>
  <sheetFormatPr defaultRowHeight="12.75" x14ac:dyDescent="0.2"/>
  <cols>
    <col min="1" max="1" width="9.140625" style="345"/>
    <col min="2" max="2" width="3.140625" style="345" customWidth="1"/>
    <col min="3" max="3" width="23.28515625" style="345" bestFit="1" customWidth="1"/>
    <col min="4" max="4" width="18.140625" style="345" customWidth="1"/>
    <col min="5" max="5" width="3.140625" style="345" customWidth="1"/>
    <col min="6" max="6" width="18.140625" style="345" customWidth="1"/>
    <col min="7" max="7" width="3.140625" style="345" customWidth="1"/>
    <col min="8" max="8" width="13.85546875" style="345" customWidth="1"/>
    <col min="9" max="16384" width="9.140625" style="345"/>
  </cols>
  <sheetData>
    <row r="1" spans="2:7" ht="18" x14ac:dyDescent="0.25">
      <c r="C1" s="346" t="s">
        <v>412</v>
      </c>
    </row>
    <row r="2" spans="2:7" ht="15.75" customHeight="1" x14ac:dyDescent="0.2">
      <c r="C2" s="347" t="s">
        <v>41</v>
      </c>
    </row>
    <row r="3" spans="2:7" ht="15.75" customHeight="1" x14ac:dyDescent="0.2"/>
    <row r="4" spans="2:7" ht="15.75" customHeight="1" x14ac:dyDescent="0.2">
      <c r="C4" s="348" t="s">
        <v>1</v>
      </c>
    </row>
    <row r="5" spans="2:7" ht="15.75" customHeight="1" thickBot="1" x14ac:dyDescent="0.25"/>
    <row r="6" spans="2:7" ht="15.75" customHeight="1" x14ac:dyDescent="0.2">
      <c r="B6" s="349"/>
      <c r="C6" s="350"/>
      <c r="D6" s="350"/>
      <c r="E6" s="351"/>
    </row>
    <row r="7" spans="2:7" ht="15.75" customHeight="1" x14ac:dyDescent="0.2">
      <c r="B7" s="352"/>
      <c r="C7" s="353" t="s">
        <v>160</v>
      </c>
      <c r="D7" s="354">
        <v>425000</v>
      </c>
      <c r="E7" s="355"/>
      <c r="G7" s="432"/>
    </row>
    <row r="8" spans="2:7" ht="15.75" customHeight="1" x14ac:dyDescent="0.2">
      <c r="B8" s="352"/>
      <c r="C8" s="353" t="s">
        <v>442</v>
      </c>
      <c r="D8" s="354">
        <v>275000</v>
      </c>
      <c r="E8" s="355"/>
      <c r="G8" s="432"/>
    </row>
    <row r="9" spans="2:7" ht="15.75" customHeight="1" x14ac:dyDescent="0.2">
      <c r="B9" s="352"/>
      <c r="C9" s="353" t="s">
        <v>50</v>
      </c>
      <c r="D9" s="354">
        <v>45000</v>
      </c>
      <c r="E9" s="355"/>
    </row>
    <row r="10" spans="2:7" ht="15.75" customHeight="1" x14ac:dyDescent="0.2">
      <c r="B10" s="352"/>
      <c r="C10" s="353" t="s">
        <v>184</v>
      </c>
      <c r="D10" s="354">
        <v>25000</v>
      </c>
      <c r="E10" s="355"/>
    </row>
    <row r="11" spans="2:7" ht="15.75" customHeight="1" x14ac:dyDescent="0.2">
      <c r="B11" s="352"/>
      <c r="C11" s="353" t="s">
        <v>78</v>
      </c>
      <c r="D11" s="354">
        <v>47000</v>
      </c>
      <c r="E11" s="355"/>
    </row>
    <row r="12" spans="2:7" ht="15.75" customHeight="1" x14ac:dyDescent="0.2">
      <c r="B12" s="352"/>
      <c r="C12" s="353" t="s">
        <v>77</v>
      </c>
      <c r="D12" s="151">
        <v>0.35</v>
      </c>
      <c r="E12" s="355"/>
    </row>
    <row r="13" spans="2:7" ht="15.75" customHeight="1" x14ac:dyDescent="0.2">
      <c r="B13" s="352"/>
      <c r="C13" s="353" t="s">
        <v>6</v>
      </c>
      <c r="D13" s="433">
        <v>0.22</v>
      </c>
      <c r="E13" s="355"/>
    </row>
    <row r="14" spans="2:7" ht="15.75" customHeight="1" x14ac:dyDescent="0.2">
      <c r="B14" s="352"/>
      <c r="C14" s="353" t="s">
        <v>31</v>
      </c>
      <c r="D14" s="433">
        <v>0.09</v>
      </c>
      <c r="E14" s="355"/>
    </row>
    <row r="15" spans="2:7" ht="15.75" customHeight="1" thickBot="1" x14ac:dyDescent="0.25">
      <c r="B15" s="357"/>
      <c r="C15" s="434"/>
      <c r="D15" s="434"/>
      <c r="E15" s="360"/>
    </row>
    <row r="16" spans="2:7" ht="15.75" customHeight="1" x14ac:dyDescent="0.2">
      <c r="B16" s="435"/>
      <c r="E16" s="435"/>
    </row>
    <row r="17" spans="2:8" ht="15.75" customHeight="1" x14ac:dyDescent="0.2">
      <c r="C17" s="348" t="s">
        <v>2</v>
      </c>
    </row>
    <row r="18" spans="2:8" ht="15.75" customHeight="1" thickBot="1" x14ac:dyDescent="0.25"/>
    <row r="19" spans="2:8" ht="15.75" customHeight="1" x14ac:dyDescent="0.2">
      <c r="B19" s="436"/>
      <c r="C19" s="437"/>
      <c r="D19" s="437"/>
      <c r="E19" s="437"/>
      <c r="F19" s="437"/>
      <c r="G19" s="438"/>
      <c r="H19" s="382"/>
    </row>
    <row r="20" spans="2:8" ht="15.75" customHeight="1" x14ac:dyDescent="0.2">
      <c r="B20" s="439"/>
      <c r="C20" s="404"/>
      <c r="D20" s="440" t="s">
        <v>176</v>
      </c>
      <c r="E20" s="369"/>
      <c r="F20" s="404" t="s">
        <v>443</v>
      </c>
      <c r="G20" s="441"/>
      <c r="H20" s="364"/>
    </row>
    <row r="21" spans="2:8" ht="15.75" customHeight="1" x14ac:dyDescent="0.2">
      <c r="B21" s="439"/>
      <c r="C21" s="400" t="s">
        <v>10</v>
      </c>
      <c r="D21" s="442">
        <f>D8</f>
        <v>275000</v>
      </c>
      <c r="E21" s="443"/>
      <c r="F21" s="442">
        <f>D8</f>
        <v>275000</v>
      </c>
      <c r="G21" s="441"/>
      <c r="H21" s="364"/>
    </row>
    <row r="22" spans="2:8" ht="15.75" customHeight="1" x14ac:dyDescent="0.2">
      <c r="B22" s="439"/>
      <c r="C22" s="400" t="s">
        <v>77</v>
      </c>
      <c r="D22" s="444">
        <f>D21*D12</f>
        <v>96250</v>
      </c>
      <c r="E22" s="443"/>
      <c r="F22" s="444">
        <f>D12*F21</f>
        <v>96250</v>
      </c>
      <c r="G22" s="441"/>
      <c r="H22" s="397"/>
    </row>
    <row r="23" spans="2:8" ht="15.75" customHeight="1" x14ac:dyDescent="0.2">
      <c r="B23" s="439"/>
      <c r="C23" s="400" t="s">
        <v>78</v>
      </c>
      <c r="D23" s="444">
        <f>D11</f>
        <v>47000</v>
      </c>
      <c r="E23" s="443"/>
      <c r="F23" s="444">
        <f>D11</f>
        <v>47000</v>
      </c>
      <c r="G23" s="441"/>
      <c r="H23" s="364"/>
    </row>
    <row r="24" spans="2:8" ht="15.75" customHeight="1" x14ac:dyDescent="0.2">
      <c r="B24" s="439"/>
      <c r="C24" s="400" t="s">
        <v>5</v>
      </c>
      <c r="D24" s="445">
        <f>D7</f>
        <v>425000</v>
      </c>
      <c r="E24" s="443"/>
      <c r="F24" s="445">
        <f>F7</f>
        <v>0</v>
      </c>
      <c r="G24" s="441"/>
      <c r="H24" s="364"/>
    </row>
    <row r="25" spans="2:8" ht="15.75" customHeight="1" x14ac:dyDescent="0.2">
      <c r="B25" s="439"/>
      <c r="C25" s="400" t="s">
        <v>109</v>
      </c>
      <c r="D25" s="446">
        <f>D21-D22-D23-D24</f>
        <v>-293250</v>
      </c>
      <c r="E25" s="369"/>
      <c r="F25" s="446">
        <f>F21-F22-F23-F24</f>
        <v>131750</v>
      </c>
      <c r="G25" s="441"/>
      <c r="H25" s="364"/>
    </row>
    <row r="26" spans="2:8" ht="15.75" customHeight="1" x14ac:dyDescent="0.2">
      <c r="B26" s="439"/>
      <c r="C26" s="369" t="s">
        <v>150</v>
      </c>
      <c r="D26" s="447">
        <f>D25*D13</f>
        <v>-64515</v>
      </c>
      <c r="E26" s="369"/>
      <c r="F26" s="447">
        <f>F25*D13</f>
        <v>28985</v>
      </c>
      <c r="G26" s="441"/>
      <c r="H26" s="364"/>
    </row>
    <row r="27" spans="2:8" ht="15.75" customHeight="1" x14ac:dyDescent="0.2">
      <c r="B27" s="439"/>
      <c r="C27" s="369" t="s">
        <v>110</v>
      </c>
      <c r="D27" s="446">
        <f>D25-D26</f>
        <v>-228735</v>
      </c>
      <c r="E27" s="369"/>
      <c r="F27" s="446">
        <f>F25-F26</f>
        <v>102765</v>
      </c>
      <c r="G27" s="441"/>
      <c r="H27" s="364"/>
    </row>
    <row r="28" spans="2:8" ht="15.75" customHeight="1" x14ac:dyDescent="0.2">
      <c r="B28" s="439"/>
      <c r="C28" s="448" t="s">
        <v>444</v>
      </c>
      <c r="D28" s="449">
        <f>D24</f>
        <v>425000</v>
      </c>
      <c r="E28" s="369"/>
      <c r="F28" s="450">
        <f>F24</f>
        <v>0</v>
      </c>
      <c r="G28" s="441"/>
      <c r="H28" s="364"/>
    </row>
    <row r="29" spans="2:8" ht="15.75" customHeight="1" x14ac:dyDescent="0.2">
      <c r="B29" s="439"/>
      <c r="C29" s="369" t="s">
        <v>11</v>
      </c>
      <c r="D29" s="446">
        <f>D27+D28</f>
        <v>196265</v>
      </c>
      <c r="E29" s="369"/>
      <c r="F29" s="446">
        <f>F27+F28</f>
        <v>102765</v>
      </c>
      <c r="G29" s="441"/>
      <c r="H29" s="364"/>
    </row>
    <row r="30" spans="2:8" ht="15" x14ac:dyDescent="0.2">
      <c r="B30" s="439"/>
      <c r="C30" s="451"/>
      <c r="D30" s="452"/>
      <c r="E30" s="369"/>
      <c r="F30" s="369"/>
      <c r="G30" s="441"/>
      <c r="H30" s="364"/>
    </row>
    <row r="31" spans="2:8" ht="15.75" customHeight="1" x14ac:dyDescent="0.2">
      <c r="B31" s="439"/>
      <c r="C31" s="369" t="s">
        <v>27</v>
      </c>
      <c r="D31" s="370">
        <f>D9*(1-D13)</f>
        <v>35100</v>
      </c>
      <c r="E31" s="369"/>
      <c r="F31" s="369"/>
      <c r="G31" s="441"/>
      <c r="H31" s="364"/>
    </row>
    <row r="32" spans="2:8" ht="15.75" customHeight="1" x14ac:dyDescent="0.2">
      <c r="B32" s="439"/>
      <c r="C32" s="369"/>
      <c r="D32" s="453"/>
      <c r="E32" s="369"/>
      <c r="F32" s="369"/>
      <c r="G32" s="441"/>
      <c r="H32" s="364"/>
    </row>
    <row r="33" spans="1:8" ht="15.75" customHeight="1" x14ac:dyDescent="0.2">
      <c r="B33" s="439"/>
      <c r="C33" s="451" t="s">
        <v>23</v>
      </c>
      <c r="D33" s="454" t="s">
        <v>24</v>
      </c>
      <c r="E33" s="369"/>
      <c r="F33" s="369"/>
      <c r="G33" s="441"/>
      <c r="H33" s="364"/>
    </row>
    <row r="34" spans="1:8" ht="15.75" customHeight="1" x14ac:dyDescent="0.2">
      <c r="B34" s="439"/>
      <c r="C34" s="369">
        <v>0</v>
      </c>
      <c r="D34" s="409">
        <f>-D7-D10</f>
        <v>-450000</v>
      </c>
      <c r="E34" s="369"/>
      <c r="F34" s="369"/>
      <c r="G34" s="441"/>
      <c r="H34" s="364"/>
    </row>
    <row r="35" spans="1:8" ht="15.75" customHeight="1" x14ac:dyDescent="0.2">
      <c r="B35" s="439"/>
      <c r="C35" s="369">
        <v>1</v>
      </c>
      <c r="D35" s="409">
        <f>D29</f>
        <v>196265</v>
      </c>
      <c r="E35" s="369"/>
      <c r="F35" s="369"/>
      <c r="G35" s="441"/>
      <c r="H35" s="364"/>
    </row>
    <row r="36" spans="1:8" ht="15.75" customHeight="1" x14ac:dyDescent="0.2">
      <c r="B36" s="439"/>
      <c r="C36" s="369">
        <v>2</v>
      </c>
      <c r="D36" s="409">
        <f>F29</f>
        <v>102765</v>
      </c>
      <c r="E36" s="369"/>
      <c r="F36" s="369"/>
      <c r="G36" s="441"/>
      <c r="H36" s="364"/>
    </row>
    <row r="37" spans="1:8" ht="15.75" customHeight="1" x14ac:dyDescent="0.2">
      <c r="B37" s="439"/>
      <c r="C37" s="369">
        <v>3</v>
      </c>
      <c r="D37" s="409">
        <f>F29</f>
        <v>102765</v>
      </c>
      <c r="E37" s="369"/>
      <c r="F37" s="369"/>
      <c r="G37" s="441"/>
      <c r="H37" s="364"/>
    </row>
    <row r="38" spans="1:8" ht="15.75" customHeight="1" x14ac:dyDescent="0.2">
      <c r="B38" s="439"/>
      <c r="C38" s="369">
        <v>4</v>
      </c>
      <c r="D38" s="409">
        <f>F29</f>
        <v>102765</v>
      </c>
      <c r="E38" s="369"/>
      <c r="F38" s="369"/>
      <c r="G38" s="441"/>
      <c r="H38" s="364"/>
    </row>
    <row r="39" spans="1:8" ht="15.75" customHeight="1" x14ac:dyDescent="0.2">
      <c r="B39" s="439"/>
      <c r="C39" s="369">
        <v>5</v>
      </c>
      <c r="D39" s="409">
        <f>F29+D31+D10</f>
        <v>162865</v>
      </c>
      <c r="E39" s="369"/>
      <c r="F39" s="369"/>
      <c r="G39" s="441"/>
      <c r="H39" s="364"/>
    </row>
    <row r="40" spans="1:8" ht="15.75" customHeight="1" x14ac:dyDescent="0.2">
      <c r="B40" s="439"/>
      <c r="C40" s="369"/>
      <c r="D40" s="453"/>
      <c r="E40" s="369"/>
      <c r="F40" s="369"/>
      <c r="G40" s="441"/>
      <c r="H40" s="364"/>
    </row>
    <row r="41" spans="1:8" ht="15.75" customHeight="1" x14ac:dyDescent="0.25">
      <c r="B41" s="439"/>
      <c r="C41" s="369" t="s">
        <v>20</v>
      </c>
      <c r="D41" s="378">
        <f>NPV(D14,D35:D39)+D34</f>
        <v>74560.70490863116</v>
      </c>
      <c r="E41" s="369"/>
      <c r="F41" s="369"/>
      <c r="G41" s="441"/>
      <c r="H41" s="364"/>
    </row>
    <row r="42" spans="1:8" ht="15.75" customHeight="1" thickBot="1" x14ac:dyDescent="0.25">
      <c r="B42" s="455"/>
      <c r="C42" s="380"/>
      <c r="D42" s="456"/>
      <c r="E42" s="380"/>
      <c r="F42" s="380"/>
      <c r="G42" s="457"/>
      <c r="H42" s="364"/>
    </row>
    <row r="43" spans="1:8" ht="15.75" customHeight="1" x14ac:dyDescent="0.2">
      <c r="A43" s="458"/>
      <c r="B43" s="364"/>
      <c r="C43" s="364"/>
      <c r="D43" s="364"/>
      <c r="E43" s="364"/>
      <c r="F43" s="364"/>
      <c r="G43" s="364"/>
      <c r="H43" s="364"/>
    </row>
    <row r="44" spans="1:8" ht="15.75" customHeight="1" x14ac:dyDescent="0.2">
      <c r="A44" s="458"/>
      <c r="B44" s="382"/>
      <c r="C44" s="458"/>
      <c r="D44" s="458"/>
      <c r="E44" s="382"/>
      <c r="F44" s="382"/>
      <c r="G44" s="382"/>
      <c r="H44" s="382"/>
    </row>
    <row r="45" spans="1:8" ht="15.75" customHeight="1" x14ac:dyDescent="0.2">
      <c r="D45" s="383"/>
    </row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customWidth="1"/>
    <col min="4" max="4" width="19.5703125" bestFit="1" customWidth="1"/>
    <col min="5" max="5" width="3.140625" customWidth="1"/>
    <col min="6" max="6" width="20.5703125" customWidth="1"/>
    <col min="7" max="7" width="3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43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146</v>
      </c>
      <c r="D7" s="27"/>
      <c r="E7" s="9"/>
    </row>
    <row r="8" spans="2:5" ht="15.75" customHeight="1" x14ac:dyDescent="0.2">
      <c r="B8" s="8"/>
      <c r="C8" s="13" t="s">
        <v>57</v>
      </c>
      <c r="D8" s="83">
        <v>1980000</v>
      </c>
      <c r="E8" s="9"/>
    </row>
    <row r="9" spans="2:5" ht="15.75" customHeight="1" x14ac:dyDescent="0.2">
      <c r="B9" s="8"/>
      <c r="C9" s="13" t="s">
        <v>77</v>
      </c>
      <c r="D9" s="151">
        <v>0.35</v>
      </c>
      <c r="E9" s="9"/>
    </row>
    <row r="10" spans="2:5" ht="15.75" customHeight="1" x14ac:dyDescent="0.2">
      <c r="B10" s="8"/>
      <c r="C10" s="13" t="s">
        <v>78</v>
      </c>
      <c r="D10" s="83">
        <v>187000</v>
      </c>
      <c r="E10" s="9"/>
    </row>
    <row r="11" spans="2:5" ht="15.75" customHeight="1" x14ac:dyDescent="0.2">
      <c r="B11" s="8"/>
      <c r="C11" s="13" t="s">
        <v>47</v>
      </c>
      <c r="D11" s="143">
        <v>6</v>
      </c>
      <c r="E11" s="9"/>
    </row>
    <row r="12" spans="2:5" ht="15.75" customHeight="1" x14ac:dyDescent="0.2">
      <c r="B12" s="8"/>
      <c r="C12" s="13" t="s">
        <v>147</v>
      </c>
      <c r="D12" s="144"/>
      <c r="E12" s="9"/>
    </row>
    <row r="13" spans="2:5" ht="15.75" customHeight="1" x14ac:dyDescent="0.2">
      <c r="B13" s="8"/>
      <c r="C13" s="13" t="s">
        <v>57</v>
      </c>
      <c r="D13" s="83">
        <v>5400000</v>
      </c>
      <c r="E13" s="9"/>
    </row>
    <row r="14" spans="2:5" ht="15.75" customHeight="1" x14ac:dyDescent="0.2">
      <c r="B14" s="8"/>
      <c r="C14" s="13" t="s">
        <v>77</v>
      </c>
      <c r="D14" s="151">
        <v>0.3</v>
      </c>
      <c r="E14" s="9"/>
    </row>
    <row r="15" spans="2:5" ht="15.75" customHeight="1" x14ac:dyDescent="0.2">
      <c r="B15" s="8"/>
      <c r="C15" s="13" t="s">
        <v>78</v>
      </c>
      <c r="D15" s="83">
        <v>145000</v>
      </c>
      <c r="E15" s="9"/>
    </row>
    <row r="16" spans="2:5" ht="15.75" customHeight="1" x14ac:dyDescent="0.2">
      <c r="B16" s="8"/>
      <c r="C16" s="13" t="s">
        <v>47</v>
      </c>
      <c r="D16" s="143">
        <v>9</v>
      </c>
      <c r="E16" s="9"/>
    </row>
    <row r="17" spans="1:8" ht="15.75" customHeight="1" x14ac:dyDescent="0.2">
      <c r="B17" s="8"/>
      <c r="C17" s="13" t="s">
        <v>49</v>
      </c>
      <c r="D17" s="144"/>
      <c r="E17" s="9"/>
    </row>
    <row r="18" spans="1:8" ht="15.75" customHeight="1" x14ac:dyDescent="0.2">
      <c r="B18" s="8"/>
      <c r="C18" s="13" t="s">
        <v>10</v>
      </c>
      <c r="D18" s="83">
        <v>12400000</v>
      </c>
      <c r="E18" s="9"/>
    </row>
    <row r="19" spans="1:8" ht="15.75" customHeight="1" x14ac:dyDescent="0.2">
      <c r="B19" s="8"/>
      <c r="C19" s="13" t="s">
        <v>6</v>
      </c>
      <c r="D19" s="82">
        <v>0.21</v>
      </c>
      <c r="E19" s="9"/>
    </row>
    <row r="20" spans="1:8" ht="15.75" customHeight="1" x14ac:dyDescent="0.2">
      <c r="B20" s="8"/>
      <c r="C20" s="13" t="s">
        <v>31</v>
      </c>
      <c r="D20" s="82">
        <v>0.1</v>
      </c>
      <c r="E20" s="9"/>
    </row>
    <row r="21" spans="1:8" ht="15.75" customHeight="1" x14ac:dyDescent="0.2">
      <c r="B21" s="8"/>
      <c r="C21" s="13" t="s">
        <v>34</v>
      </c>
      <c r="D21" s="94"/>
      <c r="E21" s="9"/>
    </row>
    <row r="22" spans="1:8" ht="15.75" customHeight="1" thickBot="1" x14ac:dyDescent="0.25">
      <c r="B22" s="10"/>
      <c r="C22" s="65"/>
      <c r="D22" s="65"/>
      <c r="E22" s="12"/>
    </row>
    <row r="23" spans="1:8" ht="15.75" customHeight="1" x14ac:dyDescent="0.2">
      <c r="B23" s="64"/>
      <c r="E23" s="64"/>
    </row>
    <row r="24" spans="1:8" ht="15.75" customHeight="1" x14ac:dyDescent="0.2">
      <c r="C24" s="2" t="s">
        <v>2</v>
      </c>
    </row>
    <row r="25" spans="1:8" ht="15.75" customHeight="1" thickBot="1" x14ac:dyDescent="0.25"/>
    <row r="26" spans="1:8" ht="15.75" customHeight="1" x14ac:dyDescent="0.2">
      <c r="B26" s="15"/>
      <c r="C26" s="16"/>
      <c r="D26" s="16"/>
      <c r="E26" s="16"/>
      <c r="F26" s="215"/>
      <c r="G26" s="177"/>
    </row>
    <row r="27" spans="1:8" ht="15.75" customHeight="1" x14ac:dyDescent="0.2">
      <c r="A27" s="199"/>
      <c r="B27" s="200"/>
      <c r="C27" s="201"/>
      <c r="D27" s="202" t="s">
        <v>148</v>
      </c>
      <c r="E27" s="202"/>
      <c r="F27" s="216" t="s">
        <v>149</v>
      </c>
      <c r="G27" s="214"/>
      <c r="H27" s="199"/>
    </row>
    <row r="28" spans="1:8" ht="15.75" customHeight="1" x14ac:dyDescent="0.2">
      <c r="A28" s="199"/>
      <c r="B28" s="200"/>
      <c r="C28" s="201" t="s">
        <v>77</v>
      </c>
      <c r="D28" s="205">
        <f>D18*-D9</f>
        <v>-4340000</v>
      </c>
      <c r="E28" s="205"/>
      <c r="F28" s="205">
        <f>D18*-D14</f>
        <v>-3720000</v>
      </c>
      <c r="G28" s="214"/>
      <c r="H28" s="199"/>
    </row>
    <row r="29" spans="1:8" ht="15.75" customHeight="1" x14ac:dyDescent="0.2">
      <c r="A29" s="199"/>
      <c r="B29" s="200"/>
      <c r="C29" s="201" t="s">
        <v>78</v>
      </c>
      <c r="D29" s="208">
        <f>-D10</f>
        <v>-187000</v>
      </c>
      <c r="E29" s="208"/>
      <c r="F29" s="208">
        <f>-D15</f>
        <v>-145000</v>
      </c>
      <c r="G29" s="214"/>
      <c r="H29" s="199"/>
    </row>
    <row r="30" spans="1:8" ht="15.75" customHeight="1" x14ac:dyDescent="0.2">
      <c r="A30" s="199"/>
      <c r="B30" s="200"/>
      <c r="C30" s="201" t="s">
        <v>5</v>
      </c>
      <c r="D30" s="209">
        <f>-D8/D11</f>
        <v>-330000</v>
      </c>
      <c r="E30" s="208"/>
      <c r="F30" s="209">
        <f>D13/-D16</f>
        <v>-600000</v>
      </c>
      <c r="G30" s="214"/>
      <c r="H30" s="199"/>
    </row>
    <row r="31" spans="1:8" ht="15.75" customHeight="1" x14ac:dyDescent="0.2">
      <c r="A31" s="199"/>
      <c r="B31" s="200"/>
      <c r="C31" s="201" t="s">
        <v>8</v>
      </c>
      <c r="D31" s="205">
        <f>D28+D29+D30</f>
        <v>-4857000</v>
      </c>
      <c r="E31" s="205"/>
      <c r="F31" s="205">
        <f>F28+F29+F30</f>
        <v>-4465000</v>
      </c>
      <c r="G31" s="214"/>
      <c r="H31" s="199"/>
    </row>
    <row r="32" spans="1:8" ht="15.75" customHeight="1" x14ac:dyDescent="0.2">
      <c r="A32" s="199"/>
      <c r="B32" s="200"/>
      <c r="C32" s="201" t="s">
        <v>150</v>
      </c>
      <c r="D32" s="210">
        <f>D31*-D19</f>
        <v>1019970</v>
      </c>
      <c r="E32" s="212"/>
      <c r="F32" s="210">
        <f>-F31*D19</f>
        <v>937650</v>
      </c>
      <c r="G32" s="214"/>
      <c r="H32" s="199"/>
    </row>
    <row r="33" spans="1:8" ht="15.75" customHeight="1" x14ac:dyDescent="0.2">
      <c r="A33" s="199"/>
      <c r="B33" s="200"/>
      <c r="C33" s="201" t="s">
        <v>110</v>
      </c>
      <c r="D33" s="205">
        <f>D31+D32</f>
        <v>-3837030</v>
      </c>
      <c r="E33" s="213"/>
      <c r="F33" s="205">
        <f>F31+F32</f>
        <v>-3527350</v>
      </c>
      <c r="G33" s="214"/>
      <c r="H33" s="199"/>
    </row>
    <row r="34" spans="1:8" ht="15.75" customHeight="1" x14ac:dyDescent="0.2">
      <c r="A34" s="199"/>
      <c r="B34" s="200"/>
      <c r="C34" s="207" t="s">
        <v>151</v>
      </c>
      <c r="D34" s="209">
        <f>-D30</f>
        <v>330000</v>
      </c>
      <c r="E34" s="205"/>
      <c r="F34" s="209">
        <f>-F30</f>
        <v>600000</v>
      </c>
      <c r="G34" s="214"/>
      <c r="H34" s="199"/>
    </row>
    <row r="35" spans="1:8" ht="15.75" customHeight="1" x14ac:dyDescent="0.2">
      <c r="A35" s="199"/>
      <c r="B35" s="200"/>
      <c r="C35" s="201" t="s">
        <v>11</v>
      </c>
      <c r="D35" s="205">
        <f>D33+D34</f>
        <v>-3507030</v>
      </c>
      <c r="E35" s="212"/>
      <c r="F35" s="205">
        <f>F33+F34</f>
        <v>-2927350</v>
      </c>
      <c r="G35" s="214"/>
      <c r="H35" s="199"/>
    </row>
    <row r="36" spans="1:8" ht="15.75" customHeight="1" x14ac:dyDescent="0.2">
      <c r="A36" s="199"/>
      <c r="B36" s="200"/>
      <c r="C36" s="201"/>
      <c r="D36" s="201"/>
      <c r="E36" s="201"/>
      <c r="F36" s="217"/>
      <c r="G36" s="214"/>
      <c r="H36" s="199"/>
    </row>
    <row r="37" spans="1:8" ht="15.75" customHeight="1" x14ac:dyDescent="0.2">
      <c r="A37" s="199"/>
      <c r="B37" s="200"/>
      <c r="C37" s="19" t="s">
        <v>247</v>
      </c>
      <c r="D37" s="204">
        <f>-D8+PV(D20,D11,-D35)</f>
        <v>-17254029.930835016</v>
      </c>
      <c r="E37" s="201"/>
      <c r="F37" s="204">
        <f>-D13+PV(D20,D16,-F35)</f>
        <v>-22258678.36857307</v>
      </c>
      <c r="G37" s="203"/>
      <c r="H37" s="199"/>
    </row>
    <row r="38" spans="1:8" ht="15.75" customHeight="1" x14ac:dyDescent="0.2">
      <c r="A38" s="199"/>
      <c r="B38" s="200"/>
      <c r="C38" s="201" t="s">
        <v>42</v>
      </c>
      <c r="D38" s="204">
        <f>PMT(D20,D11,-D37)</f>
        <v>-3961652.6131180841</v>
      </c>
      <c r="E38" s="344"/>
      <c r="F38" s="204">
        <f>PMT(D20,D16,-F37)</f>
        <v>-3865008.911001456</v>
      </c>
      <c r="G38" s="203"/>
      <c r="H38" s="199"/>
    </row>
    <row r="39" spans="1:8" ht="15.75" customHeight="1" x14ac:dyDescent="0.2">
      <c r="A39" s="199"/>
      <c r="B39" s="200"/>
      <c r="C39" s="201"/>
      <c r="D39" s="206"/>
      <c r="E39" s="201"/>
      <c r="F39" s="201"/>
      <c r="G39" s="203"/>
      <c r="H39" s="199"/>
    </row>
    <row r="40" spans="1:8" ht="15.75" customHeight="1" x14ac:dyDescent="0.25">
      <c r="B40" s="18"/>
      <c r="C40" s="74" t="str">
        <f>IF(D38&gt;F38,"System A","System B")</f>
        <v>System B</v>
      </c>
      <c r="D40" s="19" t="s">
        <v>152</v>
      </c>
      <c r="E40" s="20"/>
      <c r="F40" s="20"/>
      <c r="G40" s="21"/>
    </row>
    <row r="41" spans="1:8" ht="15.75" customHeight="1" x14ac:dyDescent="0.2">
      <c r="B41" s="18"/>
      <c r="C41" s="19" t="s">
        <v>95</v>
      </c>
      <c r="D41" s="211"/>
      <c r="E41" s="20"/>
      <c r="F41" s="20"/>
      <c r="G41" s="21"/>
    </row>
    <row r="42" spans="1:8" ht="15.75" customHeight="1" thickBot="1" x14ac:dyDescent="0.25">
      <c r="B42" s="23"/>
      <c r="C42" s="24"/>
      <c r="D42" s="24"/>
      <c r="E42" s="24"/>
      <c r="F42" s="24"/>
      <c r="G42" s="25"/>
    </row>
    <row r="43" spans="1:8" ht="15.75" customHeight="1" x14ac:dyDescent="0.2">
      <c r="B43" s="14"/>
      <c r="E43" s="14"/>
      <c r="F43" s="14"/>
      <c r="G43" s="14"/>
    </row>
    <row r="44" spans="1:8" ht="15.75" customHeight="1" x14ac:dyDescent="0.2">
      <c r="D44" s="26"/>
    </row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  <row r="1223" ht="15.75" customHeight="1" x14ac:dyDescent="0.2"/>
    <row r="1224" ht="15.75" customHeight="1" x14ac:dyDescent="0.2"/>
    <row r="1225" ht="15.75" customHeight="1" x14ac:dyDescent="0.2"/>
    <row r="1226" ht="15.75" customHeight="1" x14ac:dyDescent="0.2"/>
    <row r="1227" ht="15.75" customHeight="1" x14ac:dyDescent="0.2"/>
    <row r="122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  <ignoredErrors>
    <ignoredError sqref="F34 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9.140625" customWidth="1"/>
  </cols>
  <sheetData>
    <row r="1" spans="2:7" ht="18" customHeight="1" x14ac:dyDescent="0.25">
      <c r="C1" s="1" t="s">
        <v>412</v>
      </c>
    </row>
    <row r="2" spans="2:7" ht="15.75" customHeight="1" x14ac:dyDescent="0.2">
      <c r="C2" s="3" t="s">
        <v>0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30</v>
      </c>
      <c r="D7" s="83">
        <v>9300</v>
      </c>
      <c r="E7" s="9"/>
      <c r="G7" s="57"/>
    </row>
    <row r="8" spans="2:7" ht="15.75" customHeight="1" x14ac:dyDescent="0.2">
      <c r="B8" s="8"/>
      <c r="C8" s="13" t="s">
        <v>33</v>
      </c>
      <c r="D8" s="94"/>
      <c r="E8" s="9"/>
      <c r="G8" s="57"/>
    </row>
    <row r="9" spans="2:7" ht="15.75" customHeight="1" x14ac:dyDescent="0.2">
      <c r="B9" s="8"/>
      <c r="C9" s="13" t="s">
        <v>35</v>
      </c>
      <c r="D9" s="89">
        <v>5</v>
      </c>
      <c r="E9" s="9"/>
      <c r="G9" s="57"/>
    </row>
    <row r="10" spans="2:7" ht="15.75" customHeight="1" x14ac:dyDescent="0.2">
      <c r="B10" s="8"/>
      <c r="C10" s="13" t="s">
        <v>172</v>
      </c>
      <c r="D10" s="89">
        <v>1400</v>
      </c>
      <c r="E10" s="9"/>
    </row>
    <row r="11" spans="2:7" ht="15.75" customHeight="1" x14ac:dyDescent="0.2">
      <c r="B11" s="8"/>
      <c r="C11" s="13" t="s">
        <v>173</v>
      </c>
      <c r="D11" s="284">
        <v>1.97</v>
      </c>
      <c r="E11" s="9"/>
    </row>
    <row r="12" spans="2:7" ht="15.75" customHeight="1" x14ac:dyDescent="0.2">
      <c r="B12" s="8"/>
      <c r="C12" s="13" t="s">
        <v>174</v>
      </c>
      <c r="D12" s="284">
        <v>4.95</v>
      </c>
      <c r="E12" s="9"/>
    </row>
    <row r="13" spans="2:7" ht="15.75" customHeight="1" x14ac:dyDescent="0.2">
      <c r="B13" s="8"/>
      <c r="C13" s="13" t="s">
        <v>6</v>
      </c>
      <c r="D13" s="82">
        <v>0.21</v>
      </c>
      <c r="E13" s="9"/>
    </row>
    <row r="14" spans="2:7" ht="15.75" customHeight="1" x14ac:dyDescent="0.2">
      <c r="B14" s="8"/>
      <c r="C14" s="13" t="s">
        <v>31</v>
      </c>
      <c r="D14" s="82">
        <v>0.14000000000000001</v>
      </c>
      <c r="E14" s="9"/>
    </row>
    <row r="15" spans="2:7" ht="15.75" customHeight="1" thickBot="1" x14ac:dyDescent="0.25">
      <c r="B15" s="10"/>
      <c r="C15" s="11"/>
      <c r="D15" s="11"/>
      <c r="E15" s="12"/>
    </row>
    <row r="16" spans="2:7" ht="15.75" customHeight="1" x14ac:dyDescent="0.2"/>
    <row r="17" spans="2:8" ht="15.75" customHeight="1" x14ac:dyDescent="0.2">
      <c r="C17" s="2" t="s">
        <v>2</v>
      </c>
    </row>
    <row r="18" spans="2:8" ht="15.75" customHeight="1" thickBot="1" x14ac:dyDescent="0.25"/>
    <row r="19" spans="2:8" ht="15.75" customHeight="1" x14ac:dyDescent="0.2">
      <c r="B19" s="15"/>
      <c r="C19" s="16"/>
      <c r="D19" s="16"/>
      <c r="E19" s="17"/>
      <c r="F19" s="30"/>
      <c r="G19" s="30"/>
      <c r="H19" s="30"/>
    </row>
    <row r="20" spans="2:8" ht="15.75" customHeight="1" x14ac:dyDescent="0.2">
      <c r="B20" s="18"/>
      <c r="C20" s="19" t="s">
        <v>10</v>
      </c>
      <c r="D20" s="342">
        <f>D10*D12</f>
        <v>6930</v>
      </c>
      <c r="E20" s="21"/>
      <c r="F20" s="30"/>
      <c r="G20" s="30"/>
      <c r="H20" s="30"/>
    </row>
    <row r="21" spans="2:8" ht="15.75" customHeight="1" x14ac:dyDescent="0.2">
      <c r="B21" s="18"/>
      <c r="C21" s="19" t="s">
        <v>14</v>
      </c>
      <c r="D21" s="278">
        <f>D11*D10</f>
        <v>2758</v>
      </c>
      <c r="E21" s="22"/>
      <c r="F21" s="30"/>
      <c r="G21" s="30"/>
      <c r="H21" s="31"/>
    </row>
    <row r="22" spans="2:8" ht="15.75" customHeight="1" x14ac:dyDescent="0.2">
      <c r="B22" s="18"/>
      <c r="C22" s="19" t="s">
        <v>5</v>
      </c>
      <c r="D22" s="277">
        <f>D7/D9</f>
        <v>1860</v>
      </c>
      <c r="E22" s="21"/>
      <c r="F22" s="30"/>
      <c r="G22" s="30"/>
      <c r="H22" s="30"/>
    </row>
    <row r="23" spans="2:8" ht="15.75" customHeight="1" x14ac:dyDescent="0.2">
      <c r="B23" s="18"/>
      <c r="C23" s="19" t="s">
        <v>8</v>
      </c>
      <c r="D23" s="342">
        <f>D20-D21-D22</f>
        <v>2312</v>
      </c>
      <c r="E23" s="21"/>
      <c r="F23" s="30"/>
      <c r="G23" s="30"/>
      <c r="H23" s="30"/>
    </row>
    <row r="24" spans="2:8" ht="15.75" customHeight="1" x14ac:dyDescent="0.2">
      <c r="B24" s="18"/>
      <c r="C24" s="224" t="s">
        <v>150</v>
      </c>
      <c r="D24" s="277">
        <f>D23*D13</f>
        <v>485.52</v>
      </c>
      <c r="E24" s="21"/>
      <c r="F24" s="30"/>
      <c r="G24" s="30"/>
      <c r="H24" s="30"/>
    </row>
    <row r="25" spans="2:8" ht="15.75" customHeight="1" x14ac:dyDescent="0.2">
      <c r="B25" s="18"/>
      <c r="C25" s="19" t="s">
        <v>110</v>
      </c>
      <c r="D25" s="342">
        <f>D23-D24</f>
        <v>1826.48</v>
      </c>
      <c r="E25" s="21"/>
      <c r="F25" s="30"/>
      <c r="G25" s="30"/>
      <c r="H25" s="30"/>
    </row>
    <row r="26" spans="2:8" ht="15.75" customHeight="1" x14ac:dyDescent="0.2">
      <c r="B26" s="18"/>
      <c r="C26" s="19"/>
      <c r="D26" s="342"/>
      <c r="E26" s="21"/>
      <c r="F26" s="30"/>
      <c r="G26" s="30"/>
      <c r="H26" s="30"/>
    </row>
    <row r="27" spans="2:8" ht="15.75" customHeight="1" x14ac:dyDescent="0.2">
      <c r="B27" s="18"/>
      <c r="C27" s="19" t="s">
        <v>11</v>
      </c>
      <c r="D27" s="342">
        <f>D25+D22</f>
        <v>3686.48</v>
      </c>
      <c r="E27" s="21"/>
      <c r="F27" s="30"/>
      <c r="G27" s="30"/>
      <c r="H27" s="30"/>
    </row>
    <row r="28" spans="2:8" ht="15.75" customHeight="1" x14ac:dyDescent="0.2">
      <c r="B28" s="18"/>
      <c r="C28" s="19"/>
      <c r="D28" s="95"/>
      <c r="E28" s="21"/>
      <c r="F28" s="30"/>
      <c r="G28" s="30"/>
      <c r="H28" s="30"/>
    </row>
    <row r="29" spans="2:8" ht="15.75" customHeight="1" x14ac:dyDescent="0.25">
      <c r="B29" s="18"/>
      <c r="C29" s="19" t="s">
        <v>20</v>
      </c>
      <c r="D29" s="170">
        <f>-D7+PV(D14,D9,-D27)</f>
        <v>3355.9843300773446</v>
      </c>
      <c r="E29" s="21"/>
      <c r="F29" s="30"/>
      <c r="G29" s="30"/>
      <c r="H29" s="30"/>
    </row>
    <row r="30" spans="2:8" ht="15.75" customHeight="1" thickBot="1" x14ac:dyDescent="0.25">
      <c r="B30" s="23"/>
      <c r="C30" s="53"/>
      <c r="D30" s="53"/>
      <c r="E30" s="25"/>
      <c r="F30" s="30"/>
      <c r="G30" s="30"/>
      <c r="H30" s="30"/>
    </row>
    <row r="31" spans="2:8" ht="15.75" customHeight="1" x14ac:dyDescent="0.2">
      <c r="B31" s="14"/>
      <c r="C31" s="14"/>
      <c r="D31" s="14"/>
      <c r="E31" s="14"/>
      <c r="F31" s="14"/>
      <c r="G31" s="14"/>
      <c r="H31" s="14"/>
    </row>
    <row r="32" spans="2:8" ht="15.75" customHeight="1" x14ac:dyDescent="0.2"/>
    <row r="33" spans="4:4" ht="15.75" customHeight="1" x14ac:dyDescent="0.2">
      <c r="D33" s="26"/>
    </row>
    <row r="34" spans="4:4" ht="15.75" customHeight="1" x14ac:dyDescent="0.2"/>
    <row r="35" spans="4:4" ht="15.75" customHeight="1" x14ac:dyDescent="0.2"/>
    <row r="36" spans="4:4" ht="15.75" customHeight="1" x14ac:dyDescent="0.2"/>
    <row r="37" spans="4: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85546875" bestFit="1" customWidth="1"/>
    <col min="4" max="4" width="19.140625" customWidth="1"/>
    <col min="5" max="5" width="21" customWidth="1"/>
    <col min="6" max="6" width="3.140625" customWidth="1"/>
    <col min="7" max="8" width="9.140625" customWidth="1"/>
  </cols>
  <sheetData>
    <row r="1" spans="2:9" s="3" customFormat="1" ht="18" x14ac:dyDescent="0.25">
      <c r="C1" s="1" t="s">
        <v>412</v>
      </c>
      <c r="D1" s="1"/>
    </row>
    <row r="2" spans="2:9" s="3" customFormat="1" ht="15.75" customHeight="1" x14ac:dyDescent="0.2">
      <c r="C2" s="3" t="s">
        <v>145</v>
      </c>
    </row>
    <row r="3" spans="2:9" s="3" customFormat="1" ht="15.75" customHeight="1" x14ac:dyDescent="0.2"/>
    <row r="4" spans="2:9" s="3" customFormat="1" ht="15.75" customHeight="1" x14ac:dyDescent="0.2">
      <c r="C4" s="2" t="s">
        <v>1</v>
      </c>
      <c r="D4" s="2"/>
    </row>
    <row r="5" spans="2:9" s="3" customFormat="1" ht="15.75" customHeight="1" thickBot="1" x14ac:dyDescent="0.25">
      <c r="C5" s="239"/>
      <c r="D5" s="239"/>
      <c r="E5" s="240"/>
    </row>
    <row r="6" spans="2:9" s="3" customFormat="1" ht="15.75" customHeight="1" x14ac:dyDescent="0.2">
      <c r="B6" s="109"/>
      <c r="C6" s="241"/>
      <c r="D6" s="241"/>
      <c r="E6" s="110"/>
      <c r="F6" s="111"/>
    </row>
    <row r="7" spans="2:9" s="3" customFormat="1" ht="15" x14ac:dyDescent="0.2">
      <c r="B7" s="112"/>
      <c r="C7" s="113"/>
      <c r="D7" s="420" t="s">
        <v>433</v>
      </c>
      <c r="E7" s="420" t="s">
        <v>434</v>
      </c>
      <c r="F7" s="114"/>
    </row>
    <row r="8" spans="2:9" s="3" customFormat="1" ht="15.75" customHeight="1" x14ac:dyDescent="0.2">
      <c r="B8" s="112"/>
      <c r="C8" s="113" t="s">
        <v>195</v>
      </c>
      <c r="D8" s="421" t="s">
        <v>196</v>
      </c>
      <c r="E8" s="422" t="s">
        <v>197</v>
      </c>
      <c r="F8" s="114"/>
      <c r="I8" s="242"/>
    </row>
    <row r="9" spans="2:9" s="3" customFormat="1" ht="15.75" customHeight="1" x14ac:dyDescent="0.2">
      <c r="B9" s="112"/>
      <c r="C9" s="113" t="s">
        <v>175</v>
      </c>
      <c r="D9" s="83">
        <v>-42000</v>
      </c>
      <c r="E9" s="243">
        <v>-53000</v>
      </c>
      <c r="F9" s="114"/>
      <c r="I9" s="242"/>
    </row>
    <row r="10" spans="2:9" s="3" customFormat="1" ht="15.75" customHeight="1" x14ac:dyDescent="0.2">
      <c r="B10" s="112"/>
      <c r="C10" s="113" t="s">
        <v>176</v>
      </c>
      <c r="D10" s="83">
        <v>21000</v>
      </c>
      <c r="E10" s="243">
        <v>24000</v>
      </c>
      <c r="F10" s="114"/>
      <c r="I10" s="242"/>
    </row>
    <row r="11" spans="2:9" s="3" customFormat="1" ht="15.75" customHeight="1" x14ac:dyDescent="0.2">
      <c r="B11" s="112"/>
      <c r="C11" s="113" t="s">
        <v>177</v>
      </c>
      <c r="D11" s="83">
        <v>19000</v>
      </c>
      <c r="E11" s="243">
        <v>25000</v>
      </c>
      <c r="F11" s="114"/>
      <c r="I11" s="242"/>
    </row>
    <row r="12" spans="2:9" s="3" customFormat="1" ht="15.75" customHeight="1" x14ac:dyDescent="0.2">
      <c r="B12" s="112"/>
      <c r="C12" s="113" t="s">
        <v>178</v>
      </c>
      <c r="D12" s="83">
        <v>17000</v>
      </c>
      <c r="E12" s="243">
        <v>23000</v>
      </c>
      <c r="F12" s="114"/>
      <c r="I12" s="242"/>
    </row>
    <row r="13" spans="2:9" s="3" customFormat="1" ht="15.75" customHeight="1" x14ac:dyDescent="0.2">
      <c r="B13" s="112"/>
      <c r="C13" s="113"/>
      <c r="D13" s="83"/>
      <c r="E13" s="243"/>
      <c r="F13" s="114"/>
      <c r="I13" s="242"/>
    </row>
    <row r="14" spans="2:9" s="3" customFormat="1" ht="15.75" customHeight="1" x14ac:dyDescent="0.2">
      <c r="B14" s="112"/>
      <c r="C14" s="113" t="s">
        <v>201</v>
      </c>
      <c r="D14" s="151">
        <v>0.11</v>
      </c>
      <c r="E14" s="243"/>
      <c r="F14" s="114"/>
      <c r="I14" s="242"/>
    </row>
    <row r="15" spans="2:9" s="3" customFormat="1" ht="15.75" customHeight="1" x14ac:dyDescent="0.2">
      <c r="B15" s="112"/>
      <c r="C15" s="113" t="s">
        <v>199</v>
      </c>
      <c r="D15" s="151">
        <v>0.04</v>
      </c>
      <c r="E15" s="243"/>
      <c r="F15" s="114"/>
      <c r="I15" s="242"/>
    </row>
    <row r="16" spans="2:9" ht="15.75" customHeight="1" thickBot="1" x14ac:dyDescent="0.25">
      <c r="B16" s="115"/>
      <c r="C16" s="116"/>
      <c r="D16" s="116"/>
      <c r="E16" s="175" t="s">
        <v>198</v>
      </c>
      <c r="F16" s="42"/>
    </row>
    <row r="17" spans="2:6" ht="15.75" customHeight="1" x14ac:dyDescent="0.2">
      <c r="B17" s="47"/>
      <c r="C17" s="244"/>
      <c r="D17" s="244"/>
      <c r="E17" s="244"/>
      <c r="F17" s="47"/>
    </row>
    <row r="18" spans="2:6" ht="15.75" customHeight="1" x14ac:dyDescent="0.2">
      <c r="B18" s="47"/>
      <c r="C18" s="245" t="s">
        <v>2</v>
      </c>
      <c r="D18" s="245"/>
      <c r="E18" s="244"/>
      <c r="F18" s="47"/>
    </row>
    <row r="19" spans="2:6" ht="15.75" customHeight="1" thickBot="1" x14ac:dyDescent="0.25">
      <c r="B19" s="47"/>
      <c r="C19" s="244"/>
      <c r="D19" s="244"/>
      <c r="E19" s="244"/>
      <c r="F19" s="47"/>
    </row>
    <row r="20" spans="2:6" ht="15.75" customHeight="1" x14ac:dyDescent="0.2">
      <c r="B20" s="117"/>
      <c r="C20" s="246"/>
      <c r="D20" s="246"/>
      <c r="E20" s="246"/>
      <c r="F20" s="72"/>
    </row>
    <row r="21" spans="2:6" ht="15.75" customHeight="1" x14ac:dyDescent="0.2">
      <c r="B21" s="119"/>
      <c r="C21" s="66" t="s">
        <v>200</v>
      </c>
      <c r="D21" s="248">
        <f>((1+D14)/(1+D15))-1</f>
        <v>6.7307692307692291E-2</v>
      </c>
      <c r="E21" s="247"/>
      <c r="F21" s="121"/>
    </row>
    <row r="22" spans="2:6" ht="15.75" customHeight="1" x14ac:dyDescent="0.2">
      <c r="B22" s="119"/>
      <c r="C22" s="247"/>
      <c r="D22" s="247"/>
      <c r="E22" s="247"/>
      <c r="F22" s="121"/>
    </row>
    <row r="23" spans="2:6" ht="15.75" customHeight="1" x14ac:dyDescent="0.25">
      <c r="B23" s="119"/>
      <c r="C23" s="66" t="s">
        <v>202</v>
      </c>
      <c r="D23" s="129">
        <f>NPV(D21,D10:D12)+D9</f>
        <v>8337.1859807214132</v>
      </c>
      <c r="E23" s="249"/>
      <c r="F23" s="121"/>
    </row>
    <row r="24" spans="2:6" ht="15.75" customHeight="1" x14ac:dyDescent="0.25">
      <c r="B24" s="119"/>
      <c r="C24" s="247"/>
      <c r="D24" s="86"/>
      <c r="E24" s="247"/>
      <c r="F24" s="121"/>
    </row>
    <row r="25" spans="2:6" ht="15.75" customHeight="1" x14ac:dyDescent="0.25">
      <c r="B25" s="119"/>
      <c r="C25" s="66" t="s">
        <v>203</v>
      </c>
      <c r="D25" s="129">
        <f>NPV(D14,E10:E12)+E9</f>
        <v>5729.584222644844</v>
      </c>
      <c r="E25" s="249"/>
      <c r="F25" s="121"/>
    </row>
    <row r="26" spans="2:6" ht="15.75" customHeight="1" thickBot="1" x14ac:dyDescent="0.25">
      <c r="B26" s="122"/>
      <c r="C26" s="123"/>
      <c r="D26" s="123"/>
      <c r="E26" s="123"/>
      <c r="F26" s="124"/>
    </row>
    <row r="27" spans="2:6" ht="15.75" customHeight="1" x14ac:dyDescent="0.2">
      <c r="B27" s="240"/>
      <c r="C27" s="240"/>
      <c r="D27" s="240"/>
      <c r="E27" s="240"/>
      <c r="F27" s="240"/>
    </row>
    <row r="28" spans="2:6" ht="15.75" customHeight="1" x14ac:dyDescent="0.2">
      <c r="B28" s="240"/>
      <c r="C28" s="240"/>
      <c r="D28" s="240"/>
      <c r="E28" s="240"/>
      <c r="F28" s="240"/>
    </row>
    <row r="29" spans="2:6" ht="15.75" customHeight="1" x14ac:dyDescent="0.2">
      <c r="B29" s="3"/>
      <c r="C29" s="3"/>
      <c r="D29" s="3"/>
      <c r="E29" s="3"/>
      <c r="F29" s="3"/>
    </row>
    <row r="30" spans="2:6" ht="15.75" customHeight="1" x14ac:dyDescent="0.2">
      <c r="B30" s="3"/>
      <c r="C30" s="3"/>
      <c r="D30" s="3"/>
      <c r="E30" s="3"/>
      <c r="F30" s="3"/>
    </row>
    <row r="31" spans="2:6" ht="15.75" customHeight="1" x14ac:dyDescent="0.2"/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customWidth="1"/>
    <col min="4" max="4" width="19.5703125" bestFit="1" customWidth="1"/>
    <col min="5" max="5" width="3.140625" customWidth="1"/>
    <col min="6" max="7" width="9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60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s="250" customFormat="1" ht="15.75" customHeight="1" x14ac:dyDescent="0.2">
      <c r="B7" s="251"/>
      <c r="C7" s="253" t="s">
        <v>204</v>
      </c>
      <c r="D7" s="89">
        <v>3400000</v>
      </c>
      <c r="E7" s="252"/>
    </row>
    <row r="8" spans="2:5" ht="15.75" customHeight="1" x14ac:dyDescent="0.2">
      <c r="B8" s="8"/>
      <c r="C8" s="13" t="s">
        <v>205</v>
      </c>
      <c r="D8" s="254">
        <v>1.43</v>
      </c>
      <c r="E8" s="9"/>
    </row>
    <row r="9" spans="2:5" ht="15.75" customHeight="1" x14ac:dyDescent="0.2">
      <c r="B9" s="8"/>
      <c r="C9" s="13" t="s">
        <v>206</v>
      </c>
      <c r="D9" s="255">
        <v>0.85</v>
      </c>
      <c r="E9" s="9"/>
    </row>
    <row r="10" spans="2:5" ht="15.75" customHeight="1" x14ac:dyDescent="0.2">
      <c r="B10" s="8"/>
      <c r="C10" s="13" t="s">
        <v>207</v>
      </c>
      <c r="D10" s="396">
        <v>1.2999999999999999E-2</v>
      </c>
      <c r="E10" s="9"/>
    </row>
    <row r="11" spans="2:5" ht="15.75" customHeight="1" x14ac:dyDescent="0.2">
      <c r="B11" s="8"/>
      <c r="C11" s="13" t="s">
        <v>208</v>
      </c>
      <c r="D11" s="396">
        <v>8.9999999999999993E-3</v>
      </c>
      <c r="E11" s="9"/>
    </row>
    <row r="12" spans="2:5" ht="15.75" customHeight="1" x14ac:dyDescent="0.2">
      <c r="B12" s="8"/>
      <c r="C12" s="13" t="s">
        <v>6</v>
      </c>
      <c r="D12" s="82">
        <v>0.21</v>
      </c>
      <c r="E12" s="9"/>
    </row>
    <row r="13" spans="2:5" ht="15.75" customHeight="1" x14ac:dyDescent="0.2">
      <c r="B13" s="8"/>
      <c r="C13" s="13" t="s">
        <v>31</v>
      </c>
      <c r="D13" s="82">
        <v>0.06</v>
      </c>
      <c r="E13" s="9"/>
    </row>
    <row r="14" spans="2:5" ht="15.75" customHeight="1" thickBot="1" x14ac:dyDescent="0.25">
      <c r="B14" s="10"/>
      <c r="C14" s="65"/>
      <c r="D14" s="65"/>
      <c r="E14" s="12"/>
    </row>
    <row r="15" spans="2:5" ht="15.75" customHeight="1" x14ac:dyDescent="0.2">
      <c r="B15" s="64"/>
      <c r="E15" s="64"/>
    </row>
    <row r="16" spans="2:5" ht="15.75" customHeight="1" x14ac:dyDescent="0.2">
      <c r="C16" s="2" t="s">
        <v>2</v>
      </c>
    </row>
    <row r="17" spans="1:7" ht="15.75" customHeight="1" thickBot="1" x14ac:dyDescent="0.25"/>
    <row r="18" spans="1:7" ht="15.75" customHeight="1" x14ac:dyDescent="0.2">
      <c r="B18" s="15"/>
      <c r="C18" s="16"/>
      <c r="D18" s="215"/>
      <c r="E18" s="177"/>
    </row>
    <row r="19" spans="1:7" ht="15.75" customHeight="1" x14ac:dyDescent="0.2">
      <c r="A19" s="199"/>
      <c r="B19" s="200"/>
      <c r="C19" s="201" t="s">
        <v>209</v>
      </c>
      <c r="D19" s="256">
        <f>D7*D8*(1-D12)</f>
        <v>3840980</v>
      </c>
      <c r="E19" s="214"/>
      <c r="F19" s="199"/>
    </row>
    <row r="20" spans="1:7" ht="15.75" customHeight="1" x14ac:dyDescent="0.2">
      <c r="A20" s="199"/>
      <c r="B20" s="200"/>
      <c r="C20" s="201" t="s">
        <v>210</v>
      </c>
      <c r="D20" s="205">
        <f>D7*D9*(1-D12)</f>
        <v>2283100</v>
      </c>
      <c r="E20" s="214"/>
      <c r="F20" s="199"/>
    </row>
    <row r="21" spans="1:7" ht="15.75" customHeight="1" x14ac:dyDescent="0.2">
      <c r="A21" s="199"/>
      <c r="B21" s="200"/>
      <c r="C21" s="201"/>
      <c r="D21" s="205"/>
      <c r="E21" s="214"/>
      <c r="F21" s="199"/>
    </row>
    <row r="22" spans="1:7" ht="15.75" customHeight="1" x14ac:dyDescent="0.2">
      <c r="A22" s="199"/>
      <c r="B22" s="200"/>
      <c r="C22" s="201" t="s">
        <v>211</v>
      </c>
      <c r="D22" s="205">
        <f>D19/(D13-D10)</f>
        <v>81722978.723404258</v>
      </c>
      <c r="E22" s="214"/>
      <c r="F22" s="199"/>
    </row>
    <row r="23" spans="1:7" ht="15.75" customHeight="1" x14ac:dyDescent="0.2">
      <c r="A23" s="199"/>
      <c r="B23" s="200"/>
      <c r="C23" s="201" t="s">
        <v>212</v>
      </c>
      <c r="D23" s="205">
        <f>D20/(D13-D11)</f>
        <v>44766666.666666672</v>
      </c>
      <c r="E23" s="214"/>
      <c r="F23" s="199"/>
    </row>
    <row r="24" spans="1:7" ht="15.75" customHeight="1" x14ac:dyDescent="0.2">
      <c r="A24" s="199"/>
      <c r="B24" s="200"/>
      <c r="C24" s="201"/>
      <c r="D24" s="205"/>
      <c r="E24" s="214"/>
      <c r="F24" s="199"/>
    </row>
    <row r="25" spans="1:7" ht="15.75" customHeight="1" x14ac:dyDescent="0.25">
      <c r="A25" s="199"/>
      <c r="B25" s="200"/>
      <c r="C25" s="201" t="s">
        <v>213</v>
      </c>
      <c r="D25" s="170">
        <f>D22-D23</f>
        <v>36956312.056737587</v>
      </c>
      <c r="E25" s="214"/>
      <c r="F25" s="199"/>
    </row>
    <row r="26" spans="1:7" ht="15.75" customHeight="1" thickBot="1" x14ac:dyDescent="0.25">
      <c r="B26" s="23"/>
      <c r="C26" s="24"/>
      <c r="D26" s="24"/>
      <c r="E26" s="25"/>
    </row>
    <row r="27" spans="1:7" ht="15.75" customHeight="1" x14ac:dyDescent="0.2">
      <c r="B27" s="14"/>
      <c r="E27" s="14"/>
      <c r="F27" s="14"/>
      <c r="G27" s="14"/>
    </row>
    <row r="28" spans="1:7" ht="15.75" customHeight="1" x14ac:dyDescent="0.2">
      <c r="D28" s="26"/>
    </row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2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3.7109375" bestFit="1" customWidth="1"/>
    <col min="4" max="9" width="15.140625" customWidth="1"/>
    <col min="10" max="10" width="3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63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s="250" customFormat="1" ht="15.75" customHeight="1" x14ac:dyDescent="0.2">
      <c r="B7" s="251"/>
      <c r="C7" s="253" t="s">
        <v>30</v>
      </c>
      <c r="D7" s="83">
        <v>435000</v>
      </c>
      <c r="E7" s="252"/>
    </row>
    <row r="8" spans="2:5" ht="15.75" customHeight="1" x14ac:dyDescent="0.2">
      <c r="B8" s="8"/>
      <c r="C8" s="13" t="s">
        <v>214</v>
      </c>
      <c r="D8" s="257">
        <v>275000</v>
      </c>
      <c r="E8" s="9"/>
    </row>
    <row r="9" spans="2:5" ht="15.75" customHeight="1" x14ac:dyDescent="0.2">
      <c r="B9" s="8"/>
      <c r="C9" s="13" t="s">
        <v>215</v>
      </c>
      <c r="D9" s="258">
        <v>87000</v>
      </c>
      <c r="E9" s="9"/>
    </row>
    <row r="10" spans="2:5" ht="15.75" customHeight="1" x14ac:dyDescent="0.2">
      <c r="B10" s="8"/>
      <c r="C10" s="13" t="s">
        <v>216</v>
      </c>
      <c r="D10" s="151">
        <v>0.03</v>
      </c>
      <c r="E10" s="9"/>
    </row>
    <row r="11" spans="2:5" ht="15.75" customHeight="1" x14ac:dyDescent="0.2">
      <c r="B11" s="8"/>
      <c r="C11" s="13" t="s">
        <v>217</v>
      </c>
      <c r="D11" s="259">
        <v>55000</v>
      </c>
      <c r="E11" s="9"/>
    </row>
    <row r="12" spans="2:5" ht="15.75" customHeight="1" x14ac:dyDescent="0.2">
      <c r="B12" s="8"/>
      <c r="C12" s="13" t="s">
        <v>87</v>
      </c>
      <c r="D12" s="259">
        <v>15000</v>
      </c>
      <c r="E12" s="9"/>
    </row>
    <row r="13" spans="2:5" ht="15.75" customHeight="1" x14ac:dyDescent="0.2">
      <c r="B13" s="8"/>
      <c r="C13" s="13" t="s">
        <v>6</v>
      </c>
      <c r="D13" s="82">
        <v>0.21</v>
      </c>
      <c r="E13" s="9"/>
    </row>
    <row r="14" spans="2:5" ht="15.75" customHeight="1" thickBot="1" x14ac:dyDescent="0.25">
      <c r="B14" s="10"/>
      <c r="C14" s="65"/>
      <c r="D14" s="65"/>
      <c r="E14" s="12"/>
    </row>
    <row r="15" spans="2:5" ht="15.75" customHeight="1" x14ac:dyDescent="0.2">
      <c r="B15" s="64"/>
      <c r="E15" s="64"/>
    </row>
    <row r="16" spans="2:5" ht="15.75" customHeight="1" x14ac:dyDescent="0.2">
      <c r="C16" s="2" t="s">
        <v>2</v>
      </c>
    </row>
    <row r="17" spans="1:11" ht="15.75" customHeight="1" thickBot="1" x14ac:dyDescent="0.25"/>
    <row r="18" spans="1:11" ht="15.75" customHeight="1" x14ac:dyDescent="0.2">
      <c r="B18" s="15"/>
      <c r="C18" s="16"/>
      <c r="D18" s="16"/>
      <c r="E18" s="16"/>
      <c r="F18" s="16"/>
      <c r="G18" s="16"/>
      <c r="H18" s="16"/>
      <c r="I18" s="215"/>
      <c r="J18" s="177"/>
    </row>
    <row r="19" spans="1:11" ht="15.75" customHeight="1" x14ac:dyDescent="0.2">
      <c r="B19" s="18"/>
      <c r="C19" s="260" t="s">
        <v>50</v>
      </c>
      <c r="D19" s="20"/>
      <c r="E19" s="20"/>
      <c r="F19" s="20"/>
      <c r="G19" s="20"/>
      <c r="H19" s="20"/>
      <c r="I19" s="56"/>
      <c r="J19" s="178"/>
    </row>
    <row r="20" spans="1:11" ht="15.75" customHeight="1" x14ac:dyDescent="0.2">
      <c r="B20" s="18"/>
      <c r="C20" s="19" t="s">
        <v>166</v>
      </c>
      <c r="D20" s="78">
        <f>D11</f>
        <v>55000</v>
      </c>
      <c r="E20" s="20"/>
      <c r="F20" s="20"/>
      <c r="G20" s="20"/>
      <c r="H20" s="20"/>
      <c r="I20" s="56"/>
      <c r="J20" s="178"/>
    </row>
    <row r="21" spans="1:11" ht="15.75" customHeight="1" x14ac:dyDescent="0.2">
      <c r="B21" s="18"/>
      <c r="C21" s="19" t="s">
        <v>221</v>
      </c>
      <c r="D21" s="81">
        <f>-D11*D13</f>
        <v>-11550</v>
      </c>
      <c r="E21" s="20"/>
      <c r="F21" s="20"/>
      <c r="G21" s="20"/>
      <c r="H21" s="20"/>
      <c r="I21" s="56"/>
      <c r="J21" s="178"/>
    </row>
    <row r="22" spans="1:11" ht="15.75" customHeight="1" x14ac:dyDescent="0.2">
      <c r="B22" s="18"/>
      <c r="C22" s="19" t="s">
        <v>27</v>
      </c>
      <c r="D22" s="78">
        <f>D20+D21</f>
        <v>43450</v>
      </c>
      <c r="E22" s="20"/>
      <c r="F22" s="20"/>
      <c r="G22" s="20"/>
      <c r="H22" s="20"/>
      <c r="I22" s="56"/>
      <c r="J22" s="178"/>
    </row>
    <row r="23" spans="1:11" ht="15.75" customHeight="1" x14ac:dyDescent="0.2">
      <c r="B23" s="18"/>
      <c r="C23" s="20"/>
      <c r="D23" s="20"/>
      <c r="E23" s="20"/>
      <c r="F23" s="20"/>
      <c r="G23" s="20"/>
      <c r="H23" s="20"/>
      <c r="I23" s="56"/>
      <c r="J23" s="178"/>
    </row>
    <row r="24" spans="1:11" ht="15.75" customHeight="1" x14ac:dyDescent="0.2">
      <c r="B24" s="18"/>
      <c r="C24" s="20"/>
      <c r="D24" s="261" t="s">
        <v>175</v>
      </c>
      <c r="E24" s="261" t="s">
        <v>176</v>
      </c>
      <c r="F24" s="261" t="s">
        <v>177</v>
      </c>
      <c r="G24" s="261" t="s">
        <v>178</v>
      </c>
      <c r="H24" s="261" t="s">
        <v>179</v>
      </c>
      <c r="I24" s="262" t="s">
        <v>220</v>
      </c>
      <c r="J24" s="178"/>
    </row>
    <row r="25" spans="1:11" ht="15.75" customHeight="1" x14ac:dyDescent="0.2">
      <c r="A25" s="199"/>
      <c r="B25" s="200"/>
      <c r="C25" s="217" t="s">
        <v>10</v>
      </c>
      <c r="D25" s="213"/>
      <c r="E25" s="266">
        <f>D8</f>
        <v>275000</v>
      </c>
      <c r="F25" s="266">
        <f t="shared" ref="F25:I26" si="0">E25*(1+$D$10)</f>
        <v>283250</v>
      </c>
      <c r="G25" s="266">
        <f t="shared" si="0"/>
        <v>291747.5</v>
      </c>
      <c r="H25" s="266">
        <f t="shared" si="0"/>
        <v>300499.92499999999</v>
      </c>
      <c r="I25" s="266">
        <f t="shared" si="0"/>
        <v>309514.92274999997</v>
      </c>
      <c r="J25" s="214"/>
      <c r="K25" s="199"/>
    </row>
    <row r="26" spans="1:11" ht="15.75" customHeight="1" x14ac:dyDescent="0.2">
      <c r="A26" s="199"/>
      <c r="B26" s="200"/>
      <c r="C26" s="217" t="s">
        <v>218</v>
      </c>
      <c r="D26" s="213"/>
      <c r="E26" s="208">
        <f>D9</f>
        <v>87000</v>
      </c>
      <c r="F26" s="208">
        <f t="shared" si="0"/>
        <v>89610</v>
      </c>
      <c r="G26" s="208">
        <f t="shared" si="0"/>
        <v>92298.3</v>
      </c>
      <c r="H26" s="208">
        <f t="shared" si="0"/>
        <v>95067.249000000011</v>
      </c>
      <c r="I26" s="208">
        <f t="shared" si="0"/>
        <v>97919.266470000017</v>
      </c>
      <c r="J26" s="214"/>
      <c r="K26" s="199"/>
    </row>
    <row r="27" spans="1:11" ht="15.75" customHeight="1" x14ac:dyDescent="0.2">
      <c r="A27" s="199"/>
      <c r="B27" s="200"/>
      <c r="C27" s="217" t="s">
        <v>5</v>
      </c>
      <c r="D27" s="263"/>
      <c r="E27" s="209">
        <f>$D$7/5</f>
        <v>87000</v>
      </c>
      <c r="F27" s="209">
        <f>$D$7/5</f>
        <v>87000</v>
      </c>
      <c r="G27" s="209">
        <f>$D$7/5</f>
        <v>87000</v>
      </c>
      <c r="H27" s="209">
        <f>$D$7/5</f>
        <v>87000</v>
      </c>
      <c r="I27" s="209">
        <f>$D$7/5</f>
        <v>87000</v>
      </c>
      <c r="J27" s="214"/>
      <c r="K27" s="199"/>
    </row>
    <row r="28" spans="1:11" ht="15.75" customHeight="1" x14ac:dyDescent="0.2">
      <c r="A28" s="199"/>
      <c r="B28" s="200"/>
      <c r="C28" s="217" t="s">
        <v>8</v>
      </c>
      <c r="D28" s="213"/>
      <c r="E28" s="266">
        <f>E25-E26-E27</f>
        <v>101000</v>
      </c>
      <c r="F28" s="266">
        <f>F25-F26-F27</f>
        <v>106640</v>
      </c>
      <c r="G28" s="266">
        <f>G25-G26-G27</f>
        <v>112449.20000000001</v>
      </c>
      <c r="H28" s="266">
        <f>H25-H26-H27</f>
        <v>118432.67599999998</v>
      </c>
      <c r="I28" s="266">
        <f>I25-I26-I27</f>
        <v>124595.65627999994</v>
      </c>
      <c r="J28" s="214"/>
      <c r="K28" s="199"/>
    </row>
    <row r="29" spans="1:11" ht="15.75" customHeight="1" x14ac:dyDescent="0.2">
      <c r="A29" s="199"/>
      <c r="B29" s="200"/>
      <c r="C29" s="217" t="s">
        <v>150</v>
      </c>
      <c r="D29" s="263"/>
      <c r="E29" s="209">
        <f>E28*$D$13</f>
        <v>21210</v>
      </c>
      <c r="F29" s="209">
        <f>F28*$D$13</f>
        <v>22394.399999999998</v>
      </c>
      <c r="G29" s="209">
        <f>G28*$D$13</f>
        <v>23614.332000000002</v>
      </c>
      <c r="H29" s="209">
        <f>H28*$D$13</f>
        <v>24870.861959999995</v>
      </c>
      <c r="I29" s="209">
        <f>I28*$D$13</f>
        <v>26165.087818799984</v>
      </c>
      <c r="J29" s="214"/>
      <c r="K29" s="199"/>
    </row>
    <row r="30" spans="1:11" ht="15.75" customHeight="1" thickBot="1" x14ac:dyDescent="0.25">
      <c r="A30" s="199"/>
      <c r="B30" s="200"/>
      <c r="C30" s="217" t="s">
        <v>110</v>
      </c>
      <c r="D30" s="265"/>
      <c r="E30" s="267">
        <f>E28-E29</f>
        <v>79790</v>
      </c>
      <c r="F30" s="267">
        <f>F28-F29</f>
        <v>84245.6</v>
      </c>
      <c r="G30" s="267">
        <f>G28-G29</f>
        <v>88834.868000000017</v>
      </c>
      <c r="H30" s="267">
        <f>H28-H29</f>
        <v>93561.814039999983</v>
      </c>
      <c r="I30" s="267">
        <f>I28-I29</f>
        <v>98430.56846119996</v>
      </c>
      <c r="J30" s="214"/>
      <c r="K30" s="199"/>
    </row>
    <row r="31" spans="1:11" ht="15.75" customHeight="1" thickTop="1" x14ac:dyDescent="0.2">
      <c r="A31" s="199"/>
      <c r="B31" s="200"/>
      <c r="C31" s="217" t="s">
        <v>11</v>
      </c>
      <c r="D31" s="213"/>
      <c r="E31" s="266">
        <f>E30+E27</f>
        <v>166790</v>
      </c>
      <c r="F31" s="266">
        <f>F30+F27</f>
        <v>171245.6</v>
      </c>
      <c r="G31" s="266">
        <f>G30+G27</f>
        <v>175834.86800000002</v>
      </c>
      <c r="H31" s="266">
        <f>H30+H27</f>
        <v>180561.81403999997</v>
      </c>
      <c r="I31" s="266">
        <f>I30+I27</f>
        <v>185430.56846119996</v>
      </c>
      <c r="J31" s="214"/>
      <c r="K31" s="199"/>
    </row>
    <row r="32" spans="1:11" ht="15.75" customHeight="1" x14ac:dyDescent="0.2">
      <c r="A32" s="199"/>
      <c r="B32" s="200"/>
      <c r="C32" s="217"/>
      <c r="D32" s="213"/>
      <c r="E32" s="266"/>
      <c r="F32" s="266"/>
      <c r="G32" s="266"/>
      <c r="H32" s="266"/>
      <c r="I32" s="266"/>
      <c r="J32" s="214"/>
      <c r="K32" s="199"/>
    </row>
    <row r="33" spans="1:11" ht="15.75" customHeight="1" x14ac:dyDescent="0.2">
      <c r="A33" s="199"/>
      <c r="B33" s="200"/>
      <c r="C33" s="217" t="s">
        <v>114</v>
      </c>
      <c r="D33" s="205">
        <f>-D7</f>
        <v>-435000</v>
      </c>
      <c r="E33" s="266"/>
      <c r="F33" s="266"/>
      <c r="G33" s="266"/>
      <c r="H33" s="266"/>
      <c r="I33" s="208">
        <f>D22</f>
        <v>43450</v>
      </c>
      <c r="J33" s="214"/>
      <c r="K33" s="199"/>
    </row>
    <row r="34" spans="1:11" ht="15.75" customHeight="1" x14ac:dyDescent="0.2">
      <c r="A34" s="199"/>
      <c r="B34" s="200"/>
      <c r="C34" s="217" t="s">
        <v>87</v>
      </c>
      <c r="D34" s="209">
        <f>-D12</f>
        <v>-15000</v>
      </c>
      <c r="E34" s="209"/>
      <c r="F34" s="209"/>
      <c r="G34" s="209"/>
      <c r="H34" s="209"/>
      <c r="I34" s="209">
        <f>D12</f>
        <v>15000</v>
      </c>
      <c r="J34" s="214"/>
      <c r="K34" s="199"/>
    </row>
    <row r="35" spans="1:11" ht="15.75" customHeight="1" x14ac:dyDescent="0.25">
      <c r="A35" s="199"/>
      <c r="B35" s="200"/>
      <c r="C35" s="217" t="s">
        <v>219</v>
      </c>
      <c r="D35" s="423">
        <f t="shared" ref="D35:I35" si="1">D31+D33+D34</f>
        <v>-450000</v>
      </c>
      <c r="E35" s="424">
        <f t="shared" si="1"/>
        <v>166790</v>
      </c>
      <c r="F35" s="424">
        <f t="shared" si="1"/>
        <v>171245.6</v>
      </c>
      <c r="G35" s="424">
        <f t="shared" si="1"/>
        <v>175834.86800000002</v>
      </c>
      <c r="H35" s="424">
        <f t="shared" si="1"/>
        <v>180561.81403999997</v>
      </c>
      <c r="I35" s="424">
        <f t="shared" si="1"/>
        <v>243880.56846119996</v>
      </c>
      <c r="J35" s="214"/>
      <c r="K35" s="199"/>
    </row>
    <row r="36" spans="1:11" ht="15.75" customHeight="1" thickBot="1" x14ac:dyDescent="0.25">
      <c r="B36" s="23"/>
      <c r="C36" s="24"/>
      <c r="D36" s="24"/>
      <c r="E36" s="24"/>
      <c r="F36" s="24"/>
      <c r="G36" s="24"/>
      <c r="H36" s="24"/>
      <c r="I36" s="24"/>
      <c r="J36" s="25"/>
    </row>
    <row r="37" spans="1:11" ht="15.75" customHeight="1" x14ac:dyDescent="0.2">
      <c r="B37" s="14"/>
      <c r="E37" s="14"/>
      <c r="F37" s="14"/>
    </row>
    <row r="38" spans="1:11" ht="15.75" customHeight="1" x14ac:dyDescent="0.2">
      <c r="D38" s="26"/>
    </row>
    <row r="39" spans="1:11" ht="15.75" customHeight="1" x14ac:dyDescent="0.2"/>
    <row r="40" spans="1:11" ht="15.75" customHeight="1" x14ac:dyDescent="0.2"/>
    <row r="41" spans="1:11" ht="15.75" customHeight="1" x14ac:dyDescent="0.2"/>
    <row r="42" spans="1:11" ht="15.75" customHeight="1" x14ac:dyDescent="0.2"/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</sheetData>
  <phoneticPr fontId="0" type="noConversion"/>
  <pageMargins left="0.75" right="0.75" top="1" bottom="1" header="0.5" footer="0.5"/>
  <pageSetup scale="66" orientation="portrait" horizontalDpi="360" verticalDpi="360" r:id="rId1"/>
  <headerFooter alignWithMargins="0"/>
  <colBreaks count="1" manualBreakCount="1">
    <brk id="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customWidth="1"/>
    <col min="4" max="4" width="19.5703125" bestFit="1" customWidth="1"/>
    <col min="5" max="5" width="3.140625" customWidth="1"/>
    <col min="6" max="7" width="9.140625" customWidth="1"/>
  </cols>
  <sheetData>
    <row r="1" spans="1:6" ht="18" x14ac:dyDescent="0.25">
      <c r="C1" s="1" t="s">
        <v>412</v>
      </c>
    </row>
    <row r="2" spans="1:6" ht="15.75" customHeight="1" x14ac:dyDescent="0.2">
      <c r="C2" s="3" t="s">
        <v>68</v>
      </c>
    </row>
    <row r="3" spans="1:6" ht="15.75" customHeight="1" x14ac:dyDescent="0.2"/>
    <row r="4" spans="1:6" ht="15.75" customHeight="1" x14ac:dyDescent="0.2">
      <c r="C4" s="2" t="s">
        <v>1</v>
      </c>
    </row>
    <row r="5" spans="1:6" ht="15.75" customHeight="1" thickBot="1" x14ac:dyDescent="0.25"/>
    <row r="6" spans="1:6" ht="15.75" customHeight="1" x14ac:dyDescent="0.2">
      <c r="B6" s="5"/>
      <c r="C6" s="6"/>
      <c r="D6" s="6"/>
      <c r="E6" s="7"/>
    </row>
    <row r="7" spans="1:6" ht="15.75" customHeight="1" x14ac:dyDescent="0.2">
      <c r="B7" s="8"/>
      <c r="C7" s="253" t="s">
        <v>222</v>
      </c>
      <c r="D7" s="257">
        <v>345000</v>
      </c>
      <c r="E7" s="9"/>
    </row>
    <row r="8" spans="1:6" ht="15.75" customHeight="1" x14ac:dyDescent="0.2">
      <c r="B8" s="8"/>
      <c r="C8" s="13" t="s">
        <v>223</v>
      </c>
      <c r="D8" s="151">
        <v>-0.03</v>
      </c>
      <c r="E8" s="9"/>
    </row>
    <row r="9" spans="1:6" ht="15.75" customHeight="1" x14ac:dyDescent="0.2">
      <c r="B9" s="8"/>
      <c r="C9" s="13" t="s">
        <v>200</v>
      </c>
      <c r="D9" s="151">
        <v>0.04</v>
      </c>
      <c r="E9" s="9"/>
    </row>
    <row r="10" spans="1:6" ht="15.75" customHeight="1" thickBot="1" x14ac:dyDescent="0.25">
      <c r="B10" s="10"/>
      <c r="C10" s="65"/>
      <c r="D10" s="65"/>
      <c r="E10" s="12"/>
    </row>
    <row r="11" spans="1:6" ht="15.75" customHeight="1" x14ac:dyDescent="0.2">
      <c r="B11" s="64"/>
      <c r="E11" s="64"/>
    </row>
    <row r="12" spans="1:6" ht="15.75" customHeight="1" x14ac:dyDescent="0.2">
      <c r="C12" s="2" t="s">
        <v>2</v>
      </c>
    </row>
    <row r="13" spans="1:6" ht="15.75" customHeight="1" thickBot="1" x14ac:dyDescent="0.25"/>
    <row r="14" spans="1:6" ht="15.75" customHeight="1" x14ac:dyDescent="0.2">
      <c r="B14" s="15"/>
      <c r="C14" s="16"/>
      <c r="D14" s="215"/>
      <c r="E14" s="177"/>
    </row>
    <row r="15" spans="1:6" ht="15.75" customHeight="1" x14ac:dyDescent="0.25">
      <c r="A15" s="199"/>
      <c r="B15" s="200"/>
      <c r="C15" s="201" t="s">
        <v>213</v>
      </c>
      <c r="D15" s="170">
        <f>D7/(D9-D8)</f>
        <v>4928571.4285714282</v>
      </c>
      <c r="E15" s="214"/>
      <c r="F15" s="199"/>
    </row>
    <row r="16" spans="1:6" ht="15.75" customHeight="1" thickBot="1" x14ac:dyDescent="0.25">
      <c r="B16" s="23"/>
      <c r="C16" s="24"/>
      <c r="D16" s="24"/>
      <c r="E16" s="25"/>
    </row>
    <row r="17" spans="2:7" ht="15.75" customHeight="1" x14ac:dyDescent="0.2">
      <c r="B17" s="14"/>
      <c r="E17" s="14"/>
      <c r="F17" s="14"/>
      <c r="G17" s="14"/>
    </row>
    <row r="18" spans="2:7" ht="15.75" customHeight="1" x14ac:dyDescent="0.2">
      <c r="D18" s="26"/>
    </row>
    <row r="19" spans="2:7" ht="15.75" customHeight="1" x14ac:dyDescent="0.2"/>
    <row r="20" spans="2:7" ht="15.75" customHeight="1" x14ac:dyDescent="0.2"/>
    <row r="21" spans="2:7" ht="15.75" customHeight="1" x14ac:dyDescent="0.2"/>
    <row r="22" spans="2:7" ht="15.75" customHeight="1" x14ac:dyDescent="0.2"/>
    <row r="23" spans="2:7" ht="15.75" customHeight="1" x14ac:dyDescent="0.2"/>
    <row r="24" spans="2:7" ht="15.75" customHeight="1" x14ac:dyDescent="0.2"/>
    <row r="25" spans="2:7" ht="15.75" customHeight="1" x14ac:dyDescent="0.2"/>
    <row r="26" spans="2:7" ht="15.75" customHeight="1" x14ac:dyDescent="0.2"/>
    <row r="27" spans="2:7" ht="15.75" customHeight="1" x14ac:dyDescent="0.2"/>
    <row r="28" spans="2:7" ht="15.75" customHeight="1" x14ac:dyDescent="0.2"/>
    <row r="29" spans="2:7" ht="15.75" customHeight="1" x14ac:dyDescent="0.2"/>
    <row r="30" spans="2:7" ht="15.75" customHeight="1" x14ac:dyDescent="0.2"/>
    <row r="31" spans="2:7" ht="15.75" customHeight="1" x14ac:dyDescent="0.2"/>
    <row r="32" spans="2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6" max="8" width="9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145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45</v>
      </c>
      <c r="D7" s="83">
        <v>97000</v>
      </c>
      <c r="E7" s="9"/>
    </row>
    <row r="8" spans="2:5" ht="15.75" customHeight="1" x14ac:dyDescent="0.2">
      <c r="B8" s="8"/>
      <c r="C8" s="13" t="s">
        <v>46</v>
      </c>
      <c r="D8" s="83">
        <v>10600</v>
      </c>
      <c r="E8" s="9"/>
    </row>
    <row r="9" spans="2:5" ht="15.75" customHeight="1" x14ac:dyDescent="0.2">
      <c r="B9" s="8"/>
      <c r="C9" s="13" t="s">
        <v>47</v>
      </c>
      <c r="D9" s="276">
        <v>3</v>
      </c>
      <c r="E9" s="9"/>
    </row>
    <row r="10" spans="2:5" ht="15.75" customHeight="1" x14ac:dyDescent="0.2">
      <c r="B10" s="8"/>
      <c r="C10" s="13" t="s">
        <v>50</v>
      </c>
      <c r="D10" s="83">
        <v>7500</v>
      </c>
      <c r="E10" s="9"/>
    </row>
    <row r="11" spans="2:5" ht="15.75" customHeight="1" x14ac:dyDescent="0.2">
      <c r="B11" s="8"/>
      <c r="C11" s="13" t="s">
        <v>6</v>
      </c>
      <c r="D11" s="82">
        <v>0.23</v>
      </c>
      <c r="E11" s="9"/>
    </row>
    <row r="12" spans="2:5" ht="15.75" customHeight="1" x14ac:dyDescent="0.2">
      <c r="B12" s="8"/>
      <c r="C12" s="13" t="s">
        <v>31</v>
      </c>
      <c r="D12" s="82">
        <v>0.12</v>
      </c>
      <c r="E12" s="9"/>
    </row>
    <row r="13" spans="2:5" ht="15.75" customHeight="1" x14ac:dyDescent="0.2">
      <c r="B13" s="8"/>
      <c r="C13" s="13" t="s">
        <v>51</v>
      </c>
      <c r="D13" s="59"/>
      <c r="E13" s="9"/>
    </row>
    <row r="14" spans="2:5" ht="15.75" customHeight="1" thickBot="1" x14ac:dyDescent="0.25">
      <c r="B14" s="10"/>
      <c r="C14" s="28"/>
      <c r="D14" s="61"/>
      <c r="E14" s="12"/>
    </row>
    <row r="15" spans="2:5" ht="15.75" customHeight="1" x14ac:dyDescent="0.2"/>
    <row r="16" spans="2:5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5"/>
      <c r="C18" s="16"/>
      <c r="D18" s="16"/>
      <c r="E18" s="17"/>
      <c r="F18" s="30"/>
    </row>
    <row r="19" spans="2:8" ht="15.75" customHeight="1" x14ac:dyDescent="0.2">
      <c r="B19" s="18"/>
      <c r="C19" s="19" t="s">
        <v>414</v>
      </c>
      <c r="D19" s="140">
        <f>D10*D11</f>
        <v>1725</v>
      </c>
      <c r="E19" s="21"/>
      <c r="F19" s="30"/>
    </row>
    <row r="20" spans="2:8" ht="15.75" customHeight="1" x14ac:dyDescent="0.2">
      <c r="B20" s="18"/>
      <c r="C20" s="19" t="s">
        <v>27</v>
      </c>
      <c r="D20" s="140">
        <f>D10*(1-D11)</f>
        <v>5775</v>
      </c>
      <c r="E20" s="21"/>
      <c r="F20" s="30"/>
    </row>
    <row r="21" spans="2:8" ht="15.75" customHeight="1" x14ac:dyDescent="0.2">
      <c r="B21" s="18"/>
      <c r="C21" s="19" t="s">
        <v>53</v>
      </c>
      <c r="D21" s="140"/>
      <c r="E21" s="21"/>
      <c r="F21" s="30"/>
    </row>
    <row r="22" spans="2:8" ht="15.75" customHeight="1" x14ac:dyDescent="0.2">
      <c r="B22" s="18"/>
      <c r="C22" s="19" t="s">
        <v>11</v>
      </c>
      <c r="D22" s="140">
        <f>(-D8)*(1-D11)+D11*(D7/D9)</f>
        <v>-725.33333333333303</v>
      </c>
      <c r="E22" s="21"/>
      <c r="F22" s="30"/>
    </row>
    <row r="23" spans="2:8" ht="15.75" customHeight="1" x14ac:dyDescent="0.2">
      <c r="B23" s="18"/>
      <c r="C23" s="19" t="s">
        <v>247</v>
      </c>
      <c r="D23" s="140">
        <f>PV(D12,D9,-D22,-D20)-D7</f>
        <v>-94631.59734876093</v>
      </c>
      <c r="E23" s="21"/>
      <c r="F23" s="31"/>
    </row>
    <row r="24" spans="2:8" ht="15.75" customHeight="1" x14ac:dyDescent="0.25">
      <c r="B24" s="18"/>
      <c r="C24" s="19" t="s">
        <v>42</v>
      </c>
      <c r="D24" s="137">
        <f>PMT(D12,D9,-D23)</f>
        <v>-39399.769084874344</v>
      </c>
      <c r="E24" s="21"/>
      <c r="F24" s="31"/>
    </row>
    <row r="25" spans="2:8" ht="15.75" customHeight="1" thickBot="1" x14ac:dyDescent="0.25">
      <c r="B25" s="23"/>
      <c r="C25" s="53"/>
      <c r="D25" s="63"/>
      <c r="E25" s="25"/>
      <c r="F25" s="30"/>
    </row>
    <row r="26" spans="2:8" ht="15.75" customHeight="1" x14ac:dyDescent="0.2">
      <c r="B26" s="14"/>
      <c r="C26" s="14"/>
      <c r="D26" s="14"/>
      <c r="E26" s="14"/>
      <c r="F26" s="14"/>
      <c r="G26" s="14"/>
      <c r="H26" s="14"/>
    </row>
    <row r="27" spans="2:8" ht="15.75" customHeight="1" x14ac:dyDescent="0.2">
      <c r="D27" s="58"/>
    </row>
    <row r="28" spans="2:8" ht="15.75" customHeight="1" x14ac:dyDescent="0.2">
      <c r="D28" s="461"/>
    </row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phoneticPr fontId="0" type="noConversion"/>
  <pageMargins left="0.75" right="0.75" top="1" bottom="1" header="0.5" footer="0.5"/>
  <pageSetup scale="92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85546875" bestFit="1" customWidth="1"/>
    <col min="5" max="5" width="3.140625" customWidth="1"/>
    <col min="6" max="8" width="9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251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225</v>
      </c>
      <c r="D7" s="83">
        <v>385000</v>
      </c>
      <c r="E7" s="9"/>
    </row>
    <row r="8" spans="2:5" ht="15.75" customHeight="1" x14ac:dyDescent="0.2">
      <c r="B8" s="8"/>
      <c r="C8" s="13" t="s">
        <v>228</v>
      </c>
      <c r="D8" s="89">
        <v>5</v>
      </c>
      <c r="E8" s="9"/>
    </row>
    <row r="9" spans="2:5" ht="15.75" customHeight="1" x14ac:dyDescent="0.2">
      <c r="B9" s="8"/>
      <c r="C9" s="13" t="s">
        <v>233</v>
      </c>
      <c r="D9" s="83">
        <v>30000</v>
      </c>
      <c r="E9" s="9"/>
    </row>
    <row r="10" spans="2:5" ht="15.75" customHeight="1" x14ac:dyDescent="0.2">
      <c r="B10" s="8"/>
      <c r="C10" s="13" t="s">
        <v>234</v>
      </c>
      <c r="D10" s="83">
        <v>90000</v>
      </c>
      <c r="E10" s="9"/>
    </row>
    <row r="11" spans="2:5" ht="15.75" customHeight="1" x14ac:dyDescent="0.2">
      <c r="B11" s="8"/>
      <c r="C11" s="13" t="s">
        <v>235</v>
      </c>
      <c r="D11" s="259">
        <v>70000</v>
      </c>
      <c r="E11" s="9"/>
    </row>
    <row r="12" spans="2:5" ht="15.75" customHeight="1" x14ac:dyDescent="0.2">
      <c r="B12" s="8"/>
      <c r="C12" s="13" t="s">
        <v>6</v>
      </c>
      <c r="D12" s="151">
        <v>0.22</v>
      </c>
      <c r="E12" s="9"/>
    </row>
    <row r="13" spans="2:5" ht="15.75" customHeight="1" x14ac:dyDescent="0.2">
      <c r="B13" s="8"/>
      <c r="C13" s="13" t="s">
        <v>31</v>
      </c>
      <c r="D13" s="151">
        <v>0.09</v>
      </c>
      <c r="E13" s="9"/>
    </row>
    <row r="14" spans="2:5" ht="15.75" customHeight="1" x14ac:dyDescent="0.2">
      <c r="B14" s="8"/>
      <c r="C14" s="13" t="s">
        <v>51</v>
      </c>
      <c r="D14" s="59"/>
      <c r="E14" s="9"/>
    </row>
    <row r="15" spans="2:5" ht="15.75" customHeight="1" thickBot="1" x14ac:dyDescent="0.25">
      <c r="B15" s="10"/>
      <c r="C15" s="28"/>
      <c r="D15" s="61"/>
      <c r="E15" s="12"/>
    </row>
    <row r="16" spans="2:5" ht="15.75" customHeight="1" x14ac:dyDescent="0.2"/>
    <row r="17" spans="2:6" ht="15.75" customHeight="1" x14ac:dyDescent="0.2">
      <c r="C17" s="2" t="s">
        <v>2</v>
      </c>
    </row>
    <row r="18" spans="2:6" ht="15.75" customHeight="1" thickBot="1" x14ac:dyDescent="0.25"/>
    <row r="19" spans="2:6" ht="15.75" customHeight="1" x14ac:dyDescent="0.2">
      <c r="B19" s="15"/>
      <c r="C19" s="16"/>
      <c r="D19" s="16"/>
      <c r="E19" s="17"/>
      <c r="F19" s="30"/>
    </row>
    <row r="20" spans="2:6" ht="15.75" customHeight="1" x14ac:dyDescent="0.2">
      <c r="B20" s="18"/>
      <c r="C20" s="260" t="s">
        <v>88</v>
      </c>
      <c r="D20" s="19"/>
      <c r="E20" s="21"/>
      <c r="F20" s="30"/>
    </row>
    <row r="21" spans="2:6" ht="15.75" customHeight="1" x14ac:dyDescent="0.2">
      <c r="B21" s="18"/>
      <c r="C21" s="19" t="s">
        <v>180</v>
      </c>
      <c r="D21" s="78">
        <f>-D7</f>
        <v>-385000</v>
      </c>
      <c r="E21" s="21"/>
      <c r="F21" s="30"/>
    </row>
    <row r="22" spans="2:6" ht="15.75" customHeight="1" x14ac:dyDescent="0.2">
      <c r="B22" s="18"/>
      <c r="C22" s="19" t="s">
        <v>184</v>
      </c>
      <c r="D22" s="81">
        <f>D11</f>
        <v>70000</v>
      </c>
      <c r="E22" s="21"/>
      <c r="F22" s="30"/>
    </row>
    <row r="23" spans="2:6" ht="15.75" customHeight="1" x14ac:dyDescent="0.2">
      <c r="B23" s="18"/>
      <c r="C23" s="19" t="s">
        <v>192</v>
      </c>
      <c r="D23" s="78">
        <f>SUM(D21:D22)</f>
        <v>-315000</v>
      </c>
      <c r="E23" s="21"/>
      <c r="F23" s="30"/>
    </row>
    <row r="24" spans="2:6" ht="15.75" customHeight="1" x14ac:dyDescent="0.2">
      <c r="B24" s="18"/>
      <c r="C24" s="19"/>
      <c r="D24" s="19"/>
      <c r="E24" s="21"/>
      <c r="F24" s="30"/>
    </row>
    <row r="25" spans="2:6" ht="15.75" customHeight="1" x14ac:dyDescent="0.2">
      <c r="B25" s="18"/>
      <c r="C25" s="260" t="s">
        <v>185</v>
      </c>
      <c r="D25" s="19"/>
      <c r="E25" s="21"/>
      <c r="F25" s="30"/>
    </row>
    <row r="26" spans="2:6" ht="15.75" customHeight="1" x14ac:dyDescent="0.2">
      <c r="B26" s="18"/>
      <c r="C26" s="19" t="s">
        <v>234</v>
      </c>
      <c r="D26" s="78">
        <f>D10</f>
        <v>90000</v>
      </c>
      <c r="E26" s="21"/>
      <c r="F26" s="30"/>
    </row>
    <row r="27" spans="2:6" ht="15.75" customHeight="1" x14ac:dyDescent="0.2">
      <c r="B27" s="18"/>
      <c r="C27" s="19" t="s">
        <v>5</v>
      </c>
      <c r="D27" s="81">
        <f>-(D7/D8)</f>
        <v>-77000</v>
      </c>
      <c r="E27" s="21"/>
      <c r="F27" s="30"/>
    </row>
    <row r="28" spans="2:6" ht="15.75" customHeight="1" x14ac:dyDescent="0.2">
      <c r="B28" s="18"/>
      <c r="C28" s="19" t="s">
        <v>8</v>
      </c>
      <c r="D28" s="78">
        <f>D26+D27</f>
        <v>13000</v>
      </c>
      <c r="E28" s="21"/>
      <c r="F28" s="30"/>
    </row>
    <row r="29" spans="2:6" ht="15.75" customHeight="1" x14ac:dyDescent="0.2">
      <c r="B29" s="18"/>
      <c r="C29" s="19" t="s">
        <v>76</v>
      </c>
      <c r="D29" s="225">
        <f>-D28*D12</f>
        <v>-2860</v>
      </c>
      <c r="E29" s="21"/>
      <c r="F29" s="30"/>
    </row>
    <row r="30" spans="2:6" ht="15.75" customHeight="1" x14ac:dyDescent="0.2">
      <c r="B30" s="18"/>
      <c r="C30" s="19" t="s">
        <v>110</v>
      </c>
      <c r="D30" s="95">
        <f>D28+D29</f>
        <v>10140</v>
      </c>
      <c r="E30" s="21"/>
      <c r="F30" s="30"/>
    </row>
    <row r="31" spans="2:6" ht="15.75" customHeight="1" x14ac:dyDescent="0.2">
      <c r="B31" s="18"/>
      <c r="C31" s="19" t="s">
        <v>11</v>
      </c>
      <c r="D31" s="270">
        <f>D30-D27</f>
        <v>87140</v>
      </c>
      <c r="E31" s="21"/>
      <c r="F31" s="30"/>
    </row>
    <row r="32" spans="2:6" ht="15.75" customHeight="1" x14ac:dyDescent="0.2">
      <c r="B32" s="18"/>
      <c r="C32" s="19"/>
      <c r="D32" s="270"/>
      <c r="E32" s="21"/>
      <c r="F32" s="30"/>
    </row>
    <row r="33" spans="2:8" ht="15.75" customHeight="1" x14ac:dyDescent="0.2">
      <c r="B33" s="18"/>
      <c r="C33" s="260" t="s">
        <v>50</v>
      </c>
      <c r="D33" s="270"/>
      <c r="E33" s="21"/>
      <c r="F33" s="30"/>
    </row>
    <row r="34" spans="2:8" ht="15.75" customHeight="1" x14ac:dyDescent="0.2">
      <c r="B34" s="18"/>
      <c r="C34" s="19" t="s">
        <v>236</v>
      </c>
      <c r="D34" s="270">
        <f>D9</f>
        <v>30000</v>
      </c>
      <c r="E34" s="21"/>
      <c r="F34" s="30"/>
    </row>
    <row r="35" spans="2:8" ht="15.75" customHeight="1" x14ac:dyDescent="0.2">
      <c r="B35" s="18"/>
      <c r="C35" s="19" t="s">
        <v>76</v>
      </c>
      <c r="D35" s="225">
        <f>-D9*D12</f>
        <v>-6600</v>
      </c>
      <c r="E35" s="21"/>
      <c r="F35" s="30"/>
    </row>
    <row r="36" spans="2:8" ht="15.75" customHeight="1" x14ac:dyDescent="0.2">
      <c r="B36" s="18"/>
      <c r="C36" s="19"/>
      <c r="D36" s="270">
        <f>SUM(D34:D35)</f>
        <v>23400</v>
      </c>
      <c r="E36" s="21"/>
      <c r="F36" s="30"/>
    </row>
    <row r="37" spans="2:8" ht="15.75" customHeight="1" x14ac:dyDescent="0.2">
      <c r="B37" s="18"/>
      <c r="C37" s="19"/>
      <c r="D37" s="140"/>
      <c r="E37" s="21"/>
      <c r="F37" s="31"/>
    </row>
    <row r="38" spans="2:8" ht="15.75" customHeight="1" x14ac:dyDescent="0.25">
      <c r="B38" s="18"/>
      <c r="C38" s="19" t="s">
        <v>20</v>
      </c>
      <c r="D38" s="137">
        <f>NPV(D13,D31,D31,D31,D31,D31-D11+D36)+D23</f>
        <v>-6342.5915130343637</v>
      </c>
      <c r="E38" s="21"/>
      <c r="F38" s="31"/>
    </row>
    <row r="39" spans="2:8" ht="15.75" customHeight="1" thickBot="1" x14ac:dyDescent="0.25">
      <c r="B39" s="23"/>
      <c r="C39" s="53"/>
      <c r="D39" s="63"/>
      <c r="E39" s="25"/>
      <c r="F39" s="30"/>
    </row>
    <row r="40" spans="2:8" ht="15.75" customHeight="1" x14ac:dyDescent="0.2">
      <c r="B40" s="14"/>
      <c r="C40" s="14"/>
      <c r="D40" s="14"/>
      <c r="E40" s="14"/>
      <c r="F40" s="14"/>
      <c r="G40" s="14"/>
      <c r="H40" s="14"/>
    </row>
    <row r="41" spans="2:8" ht="15.75" customHeight="1" x14ac:dyDescent="0.2"/>
    <row r="42" spans="2:8" ht="15.75" customHeight="1" x14ac:dyDescent="0.2">
      <c r="D42" s="26"/>
    </row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</sheetData>
  <phoneticPr fontId="0" type="noConversion"/>
  <pageMargins left="0.75" right="0.75" top="1" bottom="1" header="0.5" footer="0.5"/>
  <pageSetup scale="92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9.5703125" bestFit="1" customWidth="1"/>
    <col min="5" max="5" width="3.140625" customWidth="1"/>
    <col min="6" max="6" width="19.42578125" customWidth="1"/>
    <col min="7" max="7" width="3.140625" customWidth="1"/>
    <col min="8" max="8" width="18.85546875" bestFit="1" customWidth="1"/>
    <col min="9" max="9" width="3.140625" customWidth="1"/>
    <col min="11" max="11" width="9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118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225</v>
      </c>
      <c r="D7" s="83">
        <v>15600000</v>
      </c>
      <c r="E7" s="9"/>
    </row>
    <row r="8" spans="2:5" ht="15.75" customHeight="1" x14ac:dyDescent="0.2">
      <c r="B8" s="8"/>
      <c r="C8" s="13" t="s">
        <v>226</v>
      </c>
      <c r="D8" s="83">
        <v>5400000</v>
      </c>
      <c r="E8" s="9"/>
    </row>
    <row r="9" spans="2:5" ht="15.75" customHeight="1" x14ac:dyDescent="0.2">
      <c r="B9" s="8"/>
      <c r="C9" s="13" t="s">
        <v>227</v>
      </c>
      <c r="D9" s="269">
        <v>4100000</v>
      </c>
      <c r="E9" s="9"/>
    </row>
    <row r="10" spans="2:5" ht="15.75" customHeight="1" x14ac:dyDescent="0.2">
      <c r="B10" s="8"/>
      <c r="C10" s="13" t="s">
        <v>228</v>
      </c>
      <c r="D10" s="89">
        <v>4</v>
      </c>
      <c r="E10" s="9"/>
    </row>
    <row r="11" spans="2:5" ht="15.75" customHeight="1" x14ac:dyDescent="0.2">
      <c r="B11" s="8"/>
      <c r="C11" s="13" t="s">
        <v>137</v>
      </c>
      <c r="D11" s="83">
        <v>6300000</v>
      </c>
      <c r="E11" s="9"/>
    </row>
    <row r="12" spans="2:5" ht="15.75" customHeight="1" x14ac:dyDescent="0.2">
      <c r="B12" s="8"/>
      <c r="C12" s="13" t="s">
        <v>87</v>
      </c>
      <c r="D12" s="83">
        <v>250000</v>
      </c>
      <c r="E12" s="9"/>
    </row>
    <row r="13" spans="2:5" ht="15.75" customHeight="1" x14ac:dyDescent="0.2">
      <c r="B13" s="8"/>
      <c r="C13" s="13" t="s">
        <v>19</v>
      </c>
      <c r="D13" s="151">
        <v>0.1</v>
      </c>
      <c r="E13" s="9"/>
    </row>
    <row r="14" spans="2:5" ht="15.75" customHeight="1" x14ac:dyDescent="0.2">
      <c r="B14" s="8"/>
      <c r="C14" s="13" t="s">
        <v>6</v>
      </c>
      <c r="D14" s="151">
        <v>0.21</v>
      </c>
      <c r="E14" s="9"/>
    </row>
    <row r="15" spans="2:5" ht="15.75" customHeight="1" x14ac:dyDescent="0.2">
      <c r="B15" s="8"/>
      <c r="C15" s="13" t="s">
        <v>51</v>
      </c>
      <c r="D15" s="59"/>
      <c r="E15" s="9"/>
    </row>
    <row r="16" spans="2:5" ht="15.75" customHeight="1" thickBot="1" x14ac:dyDescent="0.25">
      <c r="B16" s="10"/>
      <c r="C16" s="28"/>
      <c r="D16" s="61"/>
      <c r="E16" s="12"/>
    </row>
    <row r="17" spans="2:10" ht="15.75" customHeight="1" x14ac:dyDescent="0.2"/>
    <row r="18" spans="2:10" ht="15.75" customHeight="1" x14ac:dyDescent="0.2">
      <c r="C18" s="2" t="s">
        <v>2</v>
      </c>
    </row>
    <row r="19" spans="2:10" ht="15.75" customHeight="1" thickBot="1" x14ac:dyDescent="0.25"/>
    <row r="20" spans="2:10" ht="15.75" customHeight="1" x14ac:dyDescent="0.2">
      <c r="B20" s="15"/>
      <c r="C20" s="16"/>
      <c r="D20" s="16"/>
      <c r="E20" s="16"/>
      <c r="F20" s="16"/>
      <c r="G20" s="16"/>
      <c r="H20" s="16"/>
      <c r="I20" s="17"/>
      <c r="J20" s="30"/>
    </row>
    <row r="21" spans="2:10" ht="30" x14ac:dyDescent="0.2">
      <c r="B21" s="18"/>
      <c r="C21" s="20"/>
      <c r="D21" s="325" t="s">
        <v>277</v>
      </c>
      <c r="E21" s="325"/>
      <c r="F21" s="325" t="s">
        <v>289</v>
      </c>
      <c r="G21" s="325"/>
      <c r="H21" s="326" t="s">
        <v>388</v>
      </c>
      <c r="I21" s="21"/>
      <c r="J21" s="30"/>
    </row>
    <row r="22" spans="2:10" ht="15.75" customHeight="1" x14ac:dyDescent="0.2">
      <c r="B22" s="18"/>
      <c r="C22" s="260" t="s">
        <v>400</v>
      </c>
      <c r="D22" s="260"/>
      <c r="E22" s="260"/>
      <c r="F22" s="260"/>
      <c r="G22" s="260"/>
      <c r="H22" s="20"/>
      <c r="I22" s="21"/>
      <c r="J22" s="30"/>
    </row>
    <row r="23" spans="2:10" ht="15.75" customHeight="1" x14ac:dyDescent="0.2">
      <c r="B23" s="18"/>
      <c r="C23" s="19" t="s">
        <v>229</v>
      </c>
      <c r="D23" s="78">
        <f>-D7</f>
        <v>-15600000</v>
      </c>
      <c r="E23" s="136"/>
      <c r="F23" s="136"/>
      <c r="G23" s="19"/>
      <c r="H23" s="78">
        <f>-D7</f>
        <v>-15600000</v>
      </c>
      <c r="I23" s="21"/>
      <c r="J23" s="30"/>
    </row>
    <row r="24" spans="2:10" ht="15.75" customHeight="1" x14ac:dyDescent="0.2">
      <c r="B24" s="18"/>
      <c r="C24" s="19" t="s">
        <v>87</v>
      </c>
      <c r="D24" s="79">
        <f>-D12</f>
        <v>-250000</v>
      </c>
      <c r="E24" s="136"/>
      <c r="F24" s="136"/>
      <c r="G24" s="19"/>
      <c r="H24" s="79">
        <f>-D12</f>
        <v>-250000</v>
      </c>
      <c r="I24" s="21"/>
      <c r="J24" s="30"/>
    </row>
    <row r="25" spans="2:10" ht="15.75" customHeight="1" x14ac:dyDescent="0.2">
      <c r="B25" s="18"/>
      <c r="C25" s="19" t="s">
        <v>407</v>
      </c>
      <c r="D25" s="136"/>
      <c r="E25" s="136"/>
      <c r="F25" s="78">
        <f>-D9</f>
        <v>-4100000</v>
      </c>
      <c r="G25" s="19"/>
      <c r="H25" s="79">
        <f>D9</f>
        <v>4100000</v>
      </c>
      <c r="I25" s="21"/>
      <c r="J25" s="30"/>
    </row>
    <row r="26" spans="2:10" ht="15.75" customHeight="1" x14ac:dyDescent="0.2">
      <c r="B26" s="18"/>
      <c r="C26" s="19" t="s">
        <v>230</v>
      </c>
      <c r="D26" s="327"/>
      <c r="E26" s="136"/>
      <c r="F26" s="81">
        <f>-H26</f>
        <v>-273000</v>
      </c>
      <c r="G26" s="19"/>
      <c r="H26" s="81">
        <f>(D8-D9)*D14</f>
        <v>273000</v>
      </c>
      <c r="I26" s="21"/>
      <c r="J26" s="30"/>
    </row>
    <row r="27" spans="2:10" ht="15.75" customHeight="1" x14ac:dyDescent="0.2">
      <c r="B27" s="18"/>
      <c r="C27" s="19" t="s">
        <v>192</v>
      </c>
      <c r="D27" s="78">
        <f>D23+D24</f>
        <v>-15850000</v>
      </c>
      <c r="E27" s="136"/>
      <c r="F27" s="78">
        <f>SUM(F25:F26)</f>
        <v>-4373000</v>
      </c>
      <c r="G27" s="20"/>
      <c r="H27" s="78">
        <f>H23+H24+H25+H26</f>
        <v>-11477000</v>
      </c>
      <c r="I27" s="21"/>
      <c r="J27" s="30"/>
    </row>
    <row r="28" spans="2:10" ht="15.75" customHeight="1" x14ac:dyDescent="0.2">
      <c r="B28" s="18"/>
      <c r="C28" s="20"/>
      <c r="D28" s="136"/>
      <c r="E28" s="136"/>
      <c r="F28" s="136"/>
      <c r="G28" s="20"/>
      <c r="H28" s="20"/>
      <c r="I28" s="21"/>
      <c r="J28" s="30"/>
    </row>
    <row r="29" spans="2:10" ht="15.75" customHeight="1" x14ac:dyDescent="0.2">
      <c r="B29" s="18"/>
      <c r="C29" s="260" t="s">
        <v>231</v>
      </c>
      <c r="D29" s="328"/>
      <c r="E29" s="328"/>
      <c r="F29" s="328"/>
      <c r="G29" s="260"/>
      <c r="H29" s="20"/>
      <c r="I29" s="21"/>
      <c r="J29" s="30"/>
    </row>
    <row r="30" spans="2:10" ht="15.75" customHeight="1" x14ac:dyDescent="0.2">
      <c r="B30" s="18"/>
      <c r="C30" s="19" t="s">
        <v>232</v>
      </c>
      <c r="D30" s="78">
        <f>D11</f>
        <v>6300000</v>
      </c>
      <c r="E30" s="136"/>
      <c r="F30" s="136"/>
      <c r="G30" s="19"/>
      <c r="H30" s="78">
        <f>D11</f>
        <v>6300000</v>
      </c>
      <c r="I30" s="21"/>
      <c r="J30" s="30"/>
    </row>
    <row r="31" spans="2:10" ht="15.75" customHeight="1" x14ac:dyDescent="0.2">
      <c r="B31" s="18"/>
      <c r="C31" s="19" t="s">
        <v>5</v>
      </c>
      <c r="D31" s="81">
        <f>D7/D10</f>
        <v>3900000</v>
      </c>
      <c r="E31" s="136"/>
      <c r="F31" s="183">
        <f>D8/D10</f>
        <v>1350000</v>
      </c>
      <c r="G31" s="19"/>
      <c r="H31" s="81">
        <f>((D7/D10)-(D8/D10))</f>
        <v>2550000</v>
      </c>
      <c r="I31" s="21"/>
      <c r="J31" s="30"/>
    </row>
    <row r="32" spans="2:10" ht="15.75" customHeight="1" x14ac:dyDescent="0.2">
      <c r="B32" s="18"/>
      <c r="C32" s="19" t="s">
        <v>8</v>
      </c>
      <c r="D32" s="78">
        <f>(D30-D31)</f>
        <v>2400000</v>
      </c>
      <c r="E32" s="136"/>
      <c r="F32" s="78">
        <f>-F31</f>
        <v>-1350000</v>
      </c>
      <c r="G32" s="19"/>
      <c r="H32" s="78">
        <f>H30-H31</f>
        <v>3750000</v>
      </c>
      <c r="I32" s="21"/>
      <c r="J32" s="30"/>
    </row>
    <row r="33" spans="2:11" ht="15.75" customHeight="1" x14ac:dyDescent="0.2">
      <c r="B33" s="18"/>
      <c r="C33" s="19" t="s">
        <v>76</v>
      </c>
      <c r="D33" s="81">
        <f>D32*D14</f>
        <v>504000</v>
      </c>
      <c r="E33" s="136"/>
      <c r="F33" s="81">
        <f>F32*D14</f>
        <v>-283500</v>
      </c>
      <c r="G33" s="19"/>
      <c r="H33" s="225">
        <f>H32*D14</f>
        <v>787500</v>
      </c>
      <c r="I33" s="21"/>
      <c r="J33" s="30"/>
    </row>
    <row r="34" spans="2:11" ht="15.75" customHeight="1" thickBot="1" x14ac:dyDescent="0.25">
      <c r="B34" s="18"/>
      <c r="C34" s="19" t="s">
        <v>110</v>
      </c>
      <c r="D34" s="125">
        <f>D32-D33</f>
        <v>1896000</v>
      </c>
      <c r="E34" s="136"/>
      <c r="F34" s="125">
        <f>F32-F33</f>
        <v>-1066500</v>
      </c>
      <c r="G34" s="19"/>
      <c r="H34" s="158">
        <f>H32-H33</f>
        <v>2962500</v>
      </c>
      <c r="I34" s="21"/>
      <c r="J34" s="30"/>
    </row>
    <row r="35" spans="2:11" ht="15.75" customHeight="1" thickTop="1" x14ac:dyDescent="0.2">
      <c r="B35" s="18"/>
      <c r="C35" s="19" t="s">
        <v>11</v>
      </c>
      <c r="D35" s="78">
        <f>D34+D31</f>
        <v>5796000</v>
      </c>
      <c r="E35" s="136"/>
      <c r="F35" s="78">
        <f>F34+F31</f>
        <v>283500</v>
      </c>
      <c r="G35" s="19"/>
      <c r="H35" s="270">
        <f>H34+H31</f>
        <v>5512500</v>
      </c>
      <c r="I35" s="21"/>
      <c r="J35" s="30"/>
    </row>
    <row r="36" spans="2:11" ht="15.75" customHeight="1" x14ac:dyDescent="0.2">
      <c r="B36" s="18"/>
      <c r="C36" s="19"/>
      <c r="D36" s="136"/>
      <c r="E36" s="136"/>
      <c r="F36" s="136"/>
      <c r="G36" s="19"/>
      <c r="H36" s="270"/>
      <c r="I36" s="21"/>
      <c r="J36" s="30"/>
    </row>
    <row r="37" spans="2:11" ht="15.75" customHeight="1" x14ac:dyDescent="0.35">
      <c r="B37" s="18"/>
      <c r="C37" s="155" t="s">
        <v>23</v>
      </c>
      <c r="D37" s="271" t="s">
        <v>24</v>
      </c>
      <c r="E37" s="329"/>
      <c r="F37" s="271" t="s">
        <v>24</v>
      </c>
      <c r="G37" s="155"/>
      <c r="H37" s="271" t="s">
        <v>24</v>
      </c>
      <c r="I37" s="21"/>
      <c r="J37" s="30"/>
    </row>
    <row r="38" spans="2:11" ht="15.75" customHeight="1" x14ac:dyDescent="0.2">
      <c r="B38" s="18"/>
      <c r="C38" s="75">
        <v>0</v>
      </c>
      <c r="D38" s="331">
        <f>D27</f>
        <v>-15850000</v>
      </c>
      <c r="E38" s="330"/>
      <c r="F38" s="331">
        <f>F27</f>
        <v>-4373000</v>
      </c>
      <c r="G38" s="75"/>
      <c r="H38" s="270">
        <f>H27</f>
        <v>-11477000</v>
      </c>
      <c r="I38" s="21"/>
      <c r="J38" s="30"/>
    </row>
    <row r="39" spans="2:11" ht="15.75" customHeight="1" x14ac:dyDescent="0.2">
      <c r="B39" s="18"/>
      <c r="C39" s="75">
        <v>1</v>
      </c>
      <c r="D39" s="332">
        <f>D35</f>
        <v>5796000</v>
      </c>
      <c r="E39" s="330"/>
      <c r="F39" s="332">
        <f>F35</f>
        <v>283500</v>
      </c>
      <c r="G39" s="75"/>
      <c r="H39" s="138">
        <f>H35</f>
        <v>5512500</v>
      </c>
      <c r="I39" s="21"/>
      <c r="J39" s="30"/>
    </row>
    <row r="40" spans="2:11" ht="15.75" customHeight="1" x14ac:dyDescent="0.2">
      <c r="B40" s="18"/>
      <c r="C40" s="75">
        <v>2</v>
      </c>
      <c r="D40" s="332">
        <f>D35</f>
        <v>5796000</v>
      </c>
      <c r="E40" s="330"/>
      <c r="F40" s="332">
        <f>F35</f>
        <v>283500</v>
      </c>
      <c r="G40" s="75"/>
      <c r="H40" s="138">
        <f>H35</f>
        <v>5512500</v>
      </c>
      <c r="I40" s="21"/>
      <c r="J40" s="30"/>
    </row>
    <row r="41" spans="2:11" ht="15.75" customHeight="1" x14ac:dyDescent="0.2">
      <c r="B41" s="18"/>
      <c r="C41" s="75">
        <v>3</v>
      </c>
      <c r="D41" s="332">
        <f>D35</f>
        <v>5796000</v>
      </c>
      <c r="E41" s="330"/>
      <c r="F41" s="332">
        <f>F35</f>
        <v>283500</v>
      </c>
      <c r="G41" s="75"/>
      <c r="H41" s="138">
        <f>H35</f>
        <v>5512500</v>
      </c>
      <c r="I41" s="21"/>
      <c r="J41" s="31"/>
    </row>
    <row r="42" spans="2:11" ht="15.75" customHeight="1" x14ac:dyDescent="0.2">
      <c r="B42" s="18"/>
      <c r="C42" s="75">
        <v>4</v>
      </c>
      <c r="D42" s="332">
        <f>D35+D12</f>
        <v>6046000</v>
      </c>
      <c r="E42" s="330"/>
      <c r="F42" s="332">
        <f>F35</f>
        <v>283500</v>
      </c>
      <c r="G42" s="75"/>
      <c r="H42" s="138">
        <f>H35+D12</f>
        <v>5762500</v>
      </c>
      <c r="I42" s="21"/>
      <c r="J42" s="31"/>
    </row>
    <row r="43" spans="2:11" ht="15.75" customHeight="1" x14ac:dyDescent="0.2">
      <c r="B43" s="18"/>
      <c r="C43" s="19"/>
      <c r="D43" s="19"/>
      <c r="E43" s="19"/>
      <c r="F43" s="19"/>
      <c r="G43" s="19"/>
      <c r="H43" s="140"/>
      <c r="I43" s="21"/>
      <c r="J43" s="31"/>
    </row>
    <row r="44" spans="2:11" ht="15.75" customHeight="1" x14ac:dyDescent="0.25">
      <c r="B44" s="18"/>
      <c r="C44" s="19" t="s">
        <v>20</v>
      </c>
      <c r="D44" s="129">
        <f>NPV(D13,D39:D42)+D38</f>
        <v>2693293.4908817671</v>
      </c>
      <c r="E44" s="19"/>
      <c r="F44" s="129">
        <f>NPV(D13,F39:F42)+F38</f>
        <v>-3474343.1459599757</v>
      </c>
      <c r="G44" s="19"/>
      <c r="H44" s="137">
        <f>NPV(D13,H39:H42)+H38</f>
        <v>6167636.6368417442</v>
      </c>
      <c r="I44" s="21"/>
      <c r="J44" s="31"/>
      <c r="K44" s="333"/>
    </row>
    <row r="45" spans="2:11" ht="15.75" customHeight="1" x14ac:dyDescent="0.2">
      <c r="B45" s="18"/>
      <c r="C45" s="19"/>
      <c r="D45" s="19"/>
      <c r="E45" s="19"/>
      <c r="F45" s="19"/>
      <c r="G45" s="19"/>
      <c r="H45" s="140"/>
      <c r="I45" s="21"/>
      <c r="J45" s="31"/>
    </row>
    <row r="46" spans="2:11" ht="15.75" customHeight="1" x14ac:dyDescent="0.25">
      <c r="B46" s="18"/>
      <c r="C46" s="19" t="s">
        <v>70</v>
      </c>
      <c r="D46" s="134">
        <f>IRR(D38:D42)</f>
        <v>0.17581974617504947</v>
      </c>
      <c r="E46" s="19"/>
      <c r="F46" s="134">
        <f>IRR(F38:F42)</f>
        <v>-0.38325988058560201</v>
      </c>
      <c r="G46" s="19"/>
      <c r="H46" s="161">
        <f>IRR(H38:H42)</f>
        <v>0.32833070401913989</v>
      </c>
      <c r="I46" s="21"/>
      <c r="J46" s="31"/>
    </row>
    <row r="47" spans="2:11" ht="15.75" customHeight="1" thickBot="1" x14ac:dyDescent="0.25">
      <c r="B47" s="23"/>
      <c r="C47" s="53"/>
      <c r="D47" s="53"/>
      <c r="E47" s="53"/>
      <c r="F47" s="53"/>
      <c r="G47" s="53"/>
      <c r="H47" s="63"/>
      <c r="I47" s="25"/>
      <c r="J47" s="30"/>
    </row>
    <row r="48" spans="2:11" ht="15.75" customHeight="1" x14ac:dyDescent="0.2">
      <c r="B48" s="14"/>
      <c r="C48" s="14"/>
      <c r="D48" s="14"/>
      <c r="E48" s="14"/>
      <c r="F48" s="14"/>
      <c r="G48" s="14"/>
      <c r="H48" s="14"/>
    </row>
    <row r="49" spans="4:6" ht="15.75" customHeight="1" x14ac:dyDescent="0.2"/>
    <row r="50" spans="4:6" ht="15.75" customHeight="1" x14ac:dyDescent="0.2">
      <c r="D50" s="26"/>
      <c r="F50" s="333"/>
    </row>
    <row r="51" spans="4:6" ht="15.75" customHeight="1" x14ac:dyDescent="0.2"/>
    <row r="52" spans="4:6" ht="15.75" customHeight="1" x14ac:dyDescent="0.2"/>
    <row r="53" spans="4:6" ht="15.75" customHeight="1" x14ac:dyDescent="0.2"/>
    <row r="54" spans="4:6" ht="15.75" customHeight="1" x14ac:dyDescent="0.2"/>
    <row r="55" spans="4:6" ht="15.75" customHeight="1" x14ac:dyDescent="0.2"/>
    <row r="56" spans="4:6" ht="15.75" customHeight="1" x14ac:dyDescent="0.2"/>
    <row r="57" spans="4:6" ht="15.75" customHeight="1" x14ac:dyDescent="0.2"/>
    <row r="58" spans="4:6" ht="15.75" customHeight="1" x14ac:dyDescent="0.2"/>
  </sheetData>
  <phoneticPr fontId="0" type="noConversion"/>
  <pageMargins left="0.75" right="0.75" top="1" bottom="1" header="0.5" footer="0.5"/>
  <pageSetup scale="84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8"/>
  <sheetViews>
    <sheetView zoomScaleNormal="100" workbookViewId="0">
      <selection activeCell="C2" sqref="C2"/>
    </sheetView>
  </sheetViews>
  <sheetFormatPr defaultRowHeight="12.75" x14ac:dyDescent="0.2"/>
  <cols>
    <col min="1" max="1" width="9.140625" style="345"/>
    <col min="2" max="2" width="3.140625" style="345" customWidth="1"/>
    <col min="3" max="3" width="32.85546875" style="345" customWidth="1"/>
    <col min="4" max="4" width="17.5703125" style="345" bestFit="1" customWidth="1"/>
    <col min="5" max="6" width="15.140625" style="345" customWidth="1"/>
    <col min="7" max="11" width="17.5703125" style="345" bestFit="1" customWidth="1"/>
    <col min="12" max="12" width="3.140625" style="345" customWidth="1"/>
    <col min="13" max="16384" width="9.140625" style="345"/>
  </cols>
  <sheetData>
    <row r="1" spans="2:5" ht="18" x14ac:dyDescent="0.25">
      <c r="C1" s="346" t="s">
        <v>412</v>
      </c>
    </row>
    <row r="2" spans="2:5" ht="15.75" customHeight="1" x14ac:dyDescent="0.2">
      <c r="C2" s="347" t="s">
        <v>119</v>
      </c>
    </row>
    <row r="3" spans="2:5" ht="15.75" customHeight="1" x14ac:dyDescent="0.2"/>
    <row r="4" spans="2:5" ht="15.75" customHeight="1" x14ac:dyDescent="0.2">
      <c r="C4" s="348" t="s">
        <v>1</v>
      </c>
    </row>
    <row r="5" spans="2:5" ht="15.75" customHeight="1" thickBot="1" x14ac:dyDescent="0.25"/>
    <row r="6" spans="2:5" ht="15.75" customHeight="1" x14ac:dyDescent="0.2">
      <c r="B6" s="349"/>
      <c r="C6" s="350"/>
      <c r="D6" s="350"/>
      <c r="E6" s="351"/>
    </row>
    <row r="7" spans="2:5" ht="15.75" customHeight="1" x14ac:dyDescent="0.2">
      <c r="B7" s="352"/>
      <c r="C7" s="353" t="s">
        <v>237</v>
      </c>
      <c r="D7" s="354">
        <v>650000</v>
      </c>
      <c r="E7" s="355"/>
    </row>
    <row r="8" spans="2:5" ht="15.75" customHeight="1" x14ac:dyDescent="0.2">
      <c r="B8" s="352"/>
      <c r="C8" s="353" t="s">
        <v>239</v>
      </c>
      <c r="D8" s="354">
        <v>565000</v>
      </c>
      <c r="E8" s="355"/>
    </row>
    <row r="9" spans="2:5" ht="15.75" customHeight="1" x14ac:dyDescent="0.2">
      <c r="B9" s="352"/>
      <c r="C9" s="353" t="s">
        <v>430</v>
      </c>
      <c r="D9" s="151">
        <v>0.05</v>
      </c>
      <c r="E9" s="355"/>
    </row>
    <row r="10" spans="2:5" ht="15.75" customHeight="1" x14ac:dyDescent="0.2">
      <c r="B10" s="352"/>
      <c r="C10" s="353" t="s">
        <v>240</v>
      </c>
      <c r="D10" s="354">
        <v>345000</v>
      </c>
      <c r="E10" s="355"/>
    </row>
    <row r="11" spans="2:5" ht="15.75" customHeight="1" x14ac:dyDescent="0.2">
      <c r="B11" s="352"/>
      <c r="C11" s="353" t="s">
        <v>238</v>
      </c>
      <c r="D11" s="151">
        <v>0.04</v>
      </c>
      <c r="E11" s="355"/>
    </row>
    <row r="12" spans="2:5" ht="15.75" customHeight="1" x14ac:dyDescent="0.2">
      <c r="B12" s="352"/>
      <c r="C12" s="353" t="s">
        <v>294</v>
      </c>
      <c r="D12" s="151">
        <v>7.0000000000000007E-2</v>
      </c>
      <c r="E12" s="355"/>
    </row>
    <row r="13" spans="2:5" ht="15.75" customHeight="1" x14ac:dyDescent="0.2">
      <c r="B13" s="352"/>
      <c r="C13" s="353" t="s">
        <v>6</v>
      </c>
      <c r="D13" s="151">
        <v>0.24</v>
      </c>
      <c r="E13" s="355"/>
    </row>
    <row r="14" spans="2:5" ht="15.75" customHeight="1" x14ac:dyDescent="0.2">
      <c r="B14" s="352"/>
      <c r="C14" s="353" t="s">
        <v>250</v>
      </c>
      <c r="D14" s="274">
        <v>7</v>
      </c>
      <c r="E14" s="355"/>
    </row>
    <row r="15" spans="2:5" ht="15.75" customHeight="1" x14ac:dyDescent="0.2">
      <c r="B15" s="352"/>
      <c r="C15" s="353" t="s">
        <v>51</v>
      </c>
      <c r="D15" s="416"/>
      <c r="E15" s="355"/>
    </row>
    <row r="16" spans="2:5" ht="15.75" customHeight="1" thickBot="1" x14ac:dyDescent="0.25">
      <c r="B16" s="357"/>
      <c r="C16" s="358"/>
      <c r="D16" s="359"/>
      <c r="E16" s="360"/>
    </row>
    <row r="17" spans="2:13" ht="15.75" customHeight="1" x14ac:dyDescent="0.2"/>
    <row r="18" spans="2:13" ht="15.75" customHeight="1" x14ac:dyDescent="0.2">
      <c r="C18" s="348" t="s">
        <v>2</v>
      </c>
    </row>
    <row r="19" spans="2:13" ht="15.75" customHeight="1" thickBot="1" x14ac:dyDescent="0.25"/>
    <row r="20" spans="2:13" ht="15.75" customHeight="1" x14ac:dyDescent="0.2">
      <c r="B20" s="361"/>
      <c r="C20" s="362"/>
      <c r="D20" s="362"/>
      <c r="E20" s="362"/>
      <c r="F20" s="362"/>
      <c r="G20" s="362"/>
      <c r="H20" s="362"/>
      <c r="I20" s="362"/>
      <c r="J20" s="362"/>
      <c r="K20" s="362"/>
      <c r="L20" s="363"/>
      <c r="M20" s="364"/>
    </row>
    <row r="21" spans="2:13" ht="15.75" customHeight="1" x14ac:dyDescent="0.2">
      <c r="B21" s="365"/>
      <c r="C21" s="369" t="s">
        <v>201</v>
      </c>
      <c r="D21" s="248">
        <f>((1+D12)*(1+D9))-1</f>
        <v>0.12350000000000017</v>
      </c>
      <c r="E21" s="367"/>
      <c r="F21" s="367"/>
      <c r="G21" s="367"/>
      <c r="H21" s="367"/>
      <c r="I21" s="367"/>
      <c r="J21" s="367"/>
      <c r="K21" s="367"/>
      <c r="L21" s="368"/>
      <c r="M21" s="364"/>
    </row>
    <row r="22" spans="2:13" ht="15.75" customHeight="1" x14ac:dyDescent="0.2">
      <c r="B22" s="365"/>
      <c r="C22" s="367"/>
      <c r="D22" s="367"/>
      <c r="E22" s="367"/>
      <c r="F22" s="367"/>
      <c r="G22" s="367"/>
      <c r="H22" s="367"/>
      <c r="I22" s="367"/>
      <c r="J22" s="367"/>
      <c r="K22" s="367"/>
      <c r="L22" s="368"/>
      <c r="M22" s="364"/>
    </row>
    <row r="23" spans="2:13" ht="15.75" customHeight="1" x14ac:dyDescent="0.2">
      <c r="B23" s="365"/>
      <c r="C23" s="366" t="s">
        <v>241</v>
      </c>
      <c r="D23" s="372" t="s">
        <v>175</v>
      </c>
      <c r="E23" s="372" t="s">
        <v>176</v>
      </c>
      <c r="F23" s="372" t="s">
        <v>177</v>
      </c>
      <c r="G23" s="372" t="s">
        <v>178</v>
      </c>
      <c r="H23" s="372" t="s">
        <v>179</v>
      </c>
      <c r="I23" s="372" t="s">
        <v>220</v>
      </c>
      <c r="J23" s="372" t="s">
        <v>243</v>
      </c>
      <c r="K23" s="372" t="s">
        <v>244</v>
      </c>
      <c r="L23" s="368"/>
      <c r="M23" s="364"/>
    </row>
    <row r="24" spans="2:13" ht="15.75" customHeight="1" x14ac:dyDescent="0.2">
      <c r="B24" s="365"/>
      <c r="C24" s="369" t="s">
        <v>242</v>
      </c>
      <c r="D24" s="369"/>
      <c r="E24" s="409">
        <f>D8</f>
        <v>565000</v>
      </c>
      <c r="F24" s="406">
        <f t="shared" ref="F24:K24" si="0">E24*(1+$D$9)</f>
        <v>593250</v>
      </c>
      <c r="G24" s="406">
        <f t="shared" si="0"/>
        <v>622912.5</v>
      </c>
      <c r="H24" s="406">
        <f t="shared" si="0"/>
        <v>654058.125</v>
      </c>
      <c r="I24" s="406">
        <f t="shared" si="0"/>
        <v>686761.03125</v>
      </c>
      <c r="J24" s="406">
        <f t="shared" si="0"/>
        <v>721099.08281250007</v>
      </c>
      <c r="K24" s="406">
        <f t="shared" si="0"/>
        <v>757154.03695312515</v>
      </c>
      <c r="L24" s="368"/>
      <c r="M24" s="364"/>
    </row>
    <row r="25" spans="2:13" ht="15.75" customHeight="1" x14ac:dyDescent="0.2">
      <c r="B25" s="365"/>
      <c r="C25" s="369" t="s">
        <v>14</v>
      </c>
      <c r="D25" s="369"/>
      <c r="E25" s="409">
        <f>D10</f>
        <v>345000</v>
      </c>
      <c r="F25" s="411">
        <f t="shared" ref="F25:K25" si="1">E25*(1+$D$11)</f>
        <v>358800</v>
      </c>
      <c r="G25" s="411">
        <f t="shared" si="1"/>
        <v>373152</v>
      </c>
      <c r="H25" s="411">
        <f t="shared" si="1"/>
        <v>388078.08000000002</v>
      </c>
      <c r="I25" s="411">
        <f t="shared" si="1"/>
        <v>403601.20320000005</v>
      </c>
      <c r="J25" s="411">
        <f t="shared" si="1"/>
        <v>419745.25132800004</v>
      </c>
      <c r="K25" s="411">
        <f t="shared" si="1"/>
        <v>436535.06138112006</v>
      </c>
      <c r="L25" s="368"/>
      <c r="M25" s="364"/>
    </row>
    <row r="26" spans="2:13" ht="15.75" customHeight="1" x14ac:dyDescent="0.2">
      <c r="B26" s="365"/>
      <c r="C26" s="369" t="s">
        <v>5</v>
      </c>
      <c r="D26" s="369"/>
      <c r="E26" s="412">
        <f>D7/7</f>
        <v>92857.142857142855</v>
      </c>
      <c r="F26" s="412">
        <f t="shared" ref="F26:K26" si="2">E26</f>
        <v>92857.142857142855</v>
      </c>
      <c r="G26" s="412">
        <f t="shared" si="2"/>
        <v>92857.142857142855</v>
      </c>
      <c r="H26" s="412">
        <f t="shared" si="2"/>
        <v>92857.142857142855</v>
      </c>
      <c r="I26" s="412">
        <f t="shared" si="2"/>
        <v>92857.142857142855</v>
      </c>
      <c r="J26" s="412">
        <f t="shared" si="2"/>
        <v>92857.142857142855</v>
      </c>
      <c r="K26" s="412">
        <f t="shared" si="2"/>
        <v>92857.142857142855</v>
      </c>
      <c r="L26" s="368"/>
      <c r="M26" s="364"/>
    </row>
    <row r="27" spans="2:13" ht="15.75" customHeight="1" x14ac:dyDescent="0.2">
      <c r="B27" s="365"/>
      <c r="C27" s="367" t="s">
        <v>8</v>
      </c>
      <c r="D27" s="367"/>
      <c r="E27" s="409">
        <f t="shared" ref="E27:K27" si="3">E24-E25-E26</f>
        <v>127142.85714285714</v>
      </c>
      <c r="F27" s="409">
        <f t="shared" si="3"/>
        <v>141592.85714285716</v>
      </c>
      <c r="G27" s="409">
        <f t="shared" si="3"/>
        <v>156903.35714285716</v>
      </c>
      <c r="H27" s="409">
        <f t="shared" si="3"/>
        <v>173122.90214285714</v>
      </c>
      <c r="I27" s="409">
        <f t="shared" si="3"/>
        <v>190302.68519285711</v>
      </c>
      <c r="J27" s="409">
        <f t="shared" si="3"/>
        <v>208496.68862735719</v>
      </c>
      <c r="K27" s="409">
        <f t="shared" si="3"/>
        <v>227761.83271486225</v>
      </c>
      <c r="L27" s="368"/>
      <c r="M27" s="364"/>
    </row>
    <row r="28" spans="2:13" ht="15.75" customHeight="1" x14ac:dyDescent="0.2">
      <c r="B28" s="365"/>
      <c r="C28" s="369" t="s">
        <v>76</v>
      </c>
      <c r="D28" s="369"/>
      <c r="E28" s="411">
        <f t="shared" ref="E28:K28" si="4">E27*$D$13</f>
        <v>30514.285714285714</v>
      </c>
      <c r="F28" s="411">
        <f t="shared" si="4"/>
        <v>33982.285714285717</v>
      </c>
      <c r="G28" s="411">
        <f t="shared" si="4"/>
        <v>37656.805714285714</v>
      </c>
      <c r="H28" s="411">
        <f t="shared" si="4"/>
        <v>41549.496514285711</v>
      </c>
      <c r="I28" s="411">
        <f t="shared" si="4"/>
        <v>45672.644446285703</v>
      </c>
      <c r="J28" s="411">
        <f t="shared" si="4"/>
        <v>50039.205270565726</v>
      </c>
      <c r="K28" s="411">
        <f t="shared" si="4"/>
        <v>54662.83985156694</v>
      </c>
      <c r="L28" s="368"/>
      <c r="M28" s="364"/>
    </row>
    <row r="29" spans="2:13" ht="15.75" customHeight="1" thickBot="1" x14ac:dyDescent="0.25">
      <c r="B29" s="365"/>
      <c r="C29" s="369" t="s">
        <v>110</v>
      </c>
      <c r="D29" s="369"/>
      <c r="E29" s="410">
        <f t="shared" ref="E29:K29" si="5">E27-E28</f>
        <v>96628.571428571435</v>
      </c>
      <c r="F29" s="410">
        <f t="shared" si="5"/>
        <v>107610.57142857145</v>
      </c>
      <c r="G29" s="410">
        <f t="shared" si="5"/>
        <v>119246.55142857145</v>
      </c>
      <c r="H29" s="410">
        <f t="shared" si="5"/>
        <v>131573.40562857143</v>
      </c>
      <c r="I29" s="410">
        <f t="shared" si="5"/>
        <v>144630.04074657141</v>
      </c>
      <c r="J29" s="410">
        <f t="shared" si="5"/>
        <v>158457.48335679146</v>
      </c>
      <c r="K29" s="410">
        <f t="shared" si="5"/>
        <v>173098.99286329531</v>
      </c>
      <c r="L29" s="368"/>
      <c r="M29" s="364"/>
    </row>
    <row r="30" spans="2:13" ht="15.75" customHeight="1" thickTop="1" x14ac:dyDescent="0.2">
      <c r="B30" s="365"/>
      <c r="C30" s="369" t="s">
        <v>11</v>
      </c>
      <c r="D30" s="369"/>
      <c r="E30" s="409">
        <f t="shared" ref="E30:K30" si="6">E29+E26</f>
        <v>189485.71428571429</v>
      </c>
      <c r="F30" s="409">
        <f t="shared" si="6"/>
        <v>200467.71428571432</v>
      </c>
      <c r="G30" s="409">
        <f t="shared" si="6"/>
        <v>212103.6942857143</v>
      </c>
      <c r="H30" s="409">
        <f t="shared" si="6"/>
        <v>224430.5484857143</v>
      </c>
      <c r="I30" s="409">
        <f t="shared" si="6"/>
        <v>237487.18360371428</v>
      </c>
      <c r="J30" s="409">
        <f t="shared" si="6"/>
        <v>251314.62621393433</v>
      </c>
      <c r="K30" s="409">
        <f t="shared" si="6"/>
        <v>265956.13572043815</v>
      </c>
      <c r="L30" s="368"/>
      <c r="M30" s="364"/>
    </row>
    <row r="31" spans="2:13" ht="15.75" customHeight="1" x14ac:dyDescent="0.2">
      <c r="B31" s="365"/>
      <c r="C31" s="369"/>
      <c r="D31" s="369"/>
      <c r="E31" s="369"/>
      <c r="F31" s="369"/>
      <c r="G31" s="369"/>
      <c r="H31" s="369"/>
      <c r="I31" s="369"/>
      <c r="J31" s="369"/>
      <c r="K31" s="369"/>
      <c r="L31" s="368"/>
      <c r="M31" s="364"/>
    </row>
    <row r="32" spans="2:13" ht="15.75" customHeight="1" x14ac:dyDescent="0.2">
      <c r="B32" s="365"/>
      <c r="C32" s="369" t="s">
        <v>114</v>
      </c>
      <c r="D32" s="408">
        <f>-D7</f>
        <v>-650000</v>
      </c>
      <c r="E32" s="407"/>
      <c r="F32" s="407"/>
      <c r="G32" s="407"/>
      <c r="H32" s="407"/>
      <c r="I32" s="407"/>
      <c r="J32" s="407"/>
      <c r="K32" s="407"/>
      <c r="L32" s="368"/>
      <c r="M32" s="364"/>
    </row>
    <row r="33" spans="2:13" ht="15.75" customHeight="1" x14ac:dyDescent="0.2">
      <c r="B33" s="365"/>
      <c r="C33" s="369"/>
      <c r="D33" s="369"/>
      <c r="E33" s="369"/>
      <c r="F33" s="369"/>
      <c r="G33" s="369"/>
      <c r="H33" s="369"/>
      <c r="I33" s="369"/>
      <c r="J33" s="369"/>
      <c r="K33" s="369"/>
      <c r="L33" s="368"/>
      <c r="M33" s="364"/>
    </row>
    <row r="34" spans="2:13" ht="15.75" customHeight="1" x14ac:dyDescent="0.2">
      <c r="B34" s="365"/>
      <c r="C34" s="369" t="s">
        <v>115</v>
      </c>
      <c r="D34" s="377">
        <f>D32</f>
        <v>-650000</v>
      </c>
      <c r="E34" s="406">
        <f t="shared" ref="E34:K34" si="7">E30</f>
        <v>189485.71428571429</v>
      </c>
      <c r="F34" s="406">
        <f t="shared" si="7"/>
        <v>200467.71428571432</v>
      </c>
      <c r="G34" s="406">
        <f t="shared" si="7"/>
        <v>212103.6942857143</v>
      </c>
      <c r="H34" s="406">
        <f t="shared" si="7"/>
        <v>224430.5484857143</v>
      </c>
      <c r="I34" s="406">
        <f t="shared" si="7"/>
        <v>237487.18360371428</v>
      </c>
      <c r="J34" s="406">
        <f t="shared" si="7"/>
        <v>251314.62621393433</v>
      </c>
      <c r="K34" s="406">
        <f t="shared" si="7"/>
        <v>265956.13572043815</v>
      </c>
      <c r="L34" s="368"/>
      <c r="M34" s="364"/>
    </row>
    <row r="35" spans="2:13" ht="15.75" customHeight="1" x14ac:dyDescent="0.2">
      <c r="B35" s="365"/>
      <c r="C35" s="367"/>
      <c r="D35" s="367"/>
      <c r="E35" s="367"/>
      <c r="F35" s="367"/>
      <c r="G35" s="367"/>
      <c r="H35" s="367"/>
      <c r="I35" s="367"/>
      <c r="J35" s="367"/>
      <c r="K35" s="367"/>
      <c r="L35" s="368"/>
      <c r="M35" s="364"/>
    </row>
    <row r="36" spans="2:13" ht="15.75" customHeight="1" x14ac:dyDescent="0.25">
      <c r="B36" s="365"/>
      <c r="C36" s="369" t="s">
        <v>20</v>
      </c>
      <c r="D36" s="378">
        <f>NPV(D21,E34:K34)+D34</f>
        <v>343238.38446420885</v>
      </c>
      <c r="E36" s="366"/>
      <c r="F36" s="366"/>
      <c r="G36" s="366"/>
      <c r="H36" s="366"/>
      <c r="I36" s="366"/>
      <c r="J36" s="366"/>
      <c r="K36" s="366"/>
      <c r="L36" s="368"/>
      <c r="M36" s="364"/>
    </row>
    <row r="37" spans="2:13" ht="15.75" customHeight="1" x14ac:dyDescent="0.2">
      <c r="B37" s="365"/>
      <c r="C37" s="369"/>
      <c r="D37" s="369"/>
      <c r="E37" s="369"/>
      <c r="F37" s="369"/>
      <c r="G37" s="369"/>
      <c r="H37" s="369"/>
      <c r="I37" s="369"/>
      <c r="J37" s="369"/>
      <c r="K37" s="369"/>
      <c r="L37" s="368"/>
      <c r="M37" s="364"/>
    </row>
    <row r="38" spans="2:13" ht="15.75" customHeight="1" x14ac:dyDescent="0.2">
      <c r="B38" s="365"/>
      <c r="C38" s="369"/>
      <c r="D38" s="369"/>
      <c r="E38" s="369"/>
      <c r="F38" s="369"/>
      <c r="G38" s="369"/>
      <c r="H38" s="369"/>
      <c r="I38" s="369"/>
      <c r="J38" s="369"/>
      <c r="K38" s="369"/>
      <c r="L38" s="368"/>
      <c r="M38" s="364"/>
    </row>
    <row r="39" spans="2:13" ht="15.75" customHeight="1" x14ac:dyDescent="0.2">
      <c r="B39" s="365"/>
      <c r="C39" s="369" t="s">
        <v>429</v>
      </c>
      <c r="D39" s="415">
        <f>D8/(1+D9)</f>
        <v>538095.23809523811</v>
      </c>
      <c r="E39" s="369"/>
      <c r="F39" s="369"/>
      <c r="G39" s="369"/>
      <c r="H39" s="369"/>
      <c r="I39" s="369"/>
      <c r="J39" s="369"/>
      <c r="K39" s="369"/>
      <c r="L39" s="368"/>
      <c r="M39" s="364"/>
    </row>
    <row r="40" spans="2:13" ht="15.75" customHeight="1" x14ac:dyDescent="0.2">
      <c r="B40" s="365"/>
      <c r="C40" s="369" t="s">
        <v>428</v>
      </c>
      <c r="D40" s="414">
        <f>D10/(1+D9)</f>
        <v>328571.42857142858</v>
      </c>
      <c r="E40" s="369"/>
      <c r="F40" s="369"/>
      <c r="G40" s="369"/>
      <c r="H40" s="369"/>
      <c r="I40" s="369"/>
      <c r="J40" s="369"/>
      <c r="K40" s="369"/>
      <c r="L40" s="368"/>
      <c r="M40" s="364"/>
    </row>
    <row r="41" spans="2:13" ht="15.75" customHeight="1" x14ac:dyDescent="0.2">
      <c r="B41" s="365"/>
      <c r="C41" s="369" t="s">
        <v>427</v>
      </c>
      <c r="D41" s="413">
        <f>((1+D11)/(1+D9))-1</f>
        <v>-9.52380952380949E-3</v>
      </c>
      <c r="E41" s="369"/>
      <c r="F41" s="369"/>
      <c r="G41" s="369"/>
      <c r="H41" s="369"/>
      <c r="I41" s="369"/>
      <c r="J41" s="369"/>
      <c r="K41" s="369"/>
      <c r="L41" s="368"/>
      <c r="M41" s="364"/>
    </row>
    <row r="42" spans="2:13" ht="15.75" customHeight="1" x14ac:dyDescent="0.2">
      <c r="B42" s="365"/>
      <c r="C42" s="369"/>
      <c r="D42" s="369"/>
      <c r="E42" s="369"/>
      <c r="F42" s="369"/>
      <c r="G42" s="369"/>
      <c r="H42" s="369"/>
      <c r="I42" s="369"/>
      <c r="J42" s="369"/>
      <c r="K42" s="369"/>
      <c r="L42" s="368"/>
      <c r="M42" s="364"/>
    </row>
    <row r="43" spans="2:13" ht="15.75" customHeight="1" x14ac:dyDescent="0.2">
      <c r="B43" s="365"/>
      <c r="C43" s="366" t="s">
        <v>426</v>
      </c>
      <c r="D43" s="372" t="s">
        <v>175</v>
      </c>
      <c r="E43" s="372" t="s">
        <v>176</v>
      </c>
      <c r="F43" s="372" t="s">
        <v>177</v>
      </c>
      <c r="G43" s="372" t="s">
        <v>178</v>
      </c>
      <c r="H43" s="372" t="s">
        <v>179</v>
      </c>
      <c r="I43" s="372" t="s">
        <v>220</v>
      </c>
      <c r="J43" s="372" t="s">
        <v>243</v>
      </c>
      <c r="K43" s="372" t="s">
        <v>244</v>
      </c>
      <c r="L43" s="368"/>
      <c r="M43" s="364"/>
    </row>
    <row r="44" spans="2:13" ht="15.75" customHeight="1" x14ac:dyDescent="0.2">
      <c r="B44" s="365"/>
      <c r="C44" s="369" t="s">
        <v>242</v>
      </c>
      <c r="D44" s="369"/>
      <c r="E44" s="409">
        <f t="shared" ref="E44:K44" si="8">$D$39</f>
        <v>538095.23809523811</v>
      </c>
      <c r="F44" s="409">
        <f t="shared" si="8"/>
        <v>538095.23809523811</v>
      </c>
      <c r="G44" s="409">
        <f t="shared" si="8"/>
        <v>538095.23809523811</v>
      </c>
      <c r="H44" s="409">
        <f t="shared" si="8"/>
        <v>538095.23809523811</v>
      </c>
      <c r="I44" s="409">
        <f t="shared" si="8"/>
        <v>538095.23809523811</v>
      </c>
      <c r="J44" s="409">
        <f t="shared" si="8"/>
        <v>538095.23809523811</v>
      </c>
      <c r="K44" s="409">
        <f t="shared" si="8"/>
        <v>538095.23809523811</v>
      </c>
      <c r="L44" s="368"/>
      <c r="M44" s="364"/>
    </row>
    <row r="45" spans="2:13" ht="15.75" customHeight="1" x14ac:dyDescent="0.2">
      <c r="B45" s="365"/>
      <c r="C45" s="369" t="s">
        <v>14</v>
      </c>
      <c r="D45" s="369"/>
      <c r="E45" s="409">
        <f>D40</f>
        <v>328571.42857142858</v>
      </c>
      <c r="F45" s="411">
        <f t="shared" ref="F45:K45" si="9">E45*(1+$D$41)</f>
        <v>325442.17687074834</v>
      </c>
      <c r="G45" s="411">
        <f t="shared" si="9"/>
        <v>322342.72756721743</v>
      </c>
      <c r="H45" s="411">
        <f t="shared" si="9"/>
        <v>319272.79682848201</v>
      </c>
      <c r="I45" s="411">
        <f t="shared" si="9"/>
        <v>316232.1035253536</v>
      </c>
      <c r="J45" s="411">
        <f t="shared" si="9"/>
        <v>313220.3692060645</v>
      </c>
      <c r="K45" s="411">
        <f t="shared" si="9"/>
        <v>310237.31807076867</v>
      </c>
      <c r="L45" s="368"/>
      <c r="M45" s="364"/>
    </row>
    <row r="46" spans="2:13" ht="15.75" customHeight="1" x14ac:dyDescent="0.2">
      <c r="B46" s="365"/>
      <c r="C46" s="369" t="s">
        <v>5</v>
      </c>
      <c r="D46" s="369"/>
      <c r="E46" s="412">
        <f>E26/(1+$D$9)</f>
        <v>88435.374149659852</v>
      </c>
      <c r="F46" s="412">
        <f>F26/(1+$D$9)^2</f>
        <v>84224.165856818916</v>
      </c>
      <c r="G46" s="412">
        <f>G26/(1+$D$9)^3</f>
        <v>80213.491292208477</v>
      </c>
      <c r="H46" s="412">
        <f>H26/(1+$D$9)^4</f>
        <v>76393.801230674755</v>
      </c>
      <c r="I46" s="412">
        <f>I26/(1+$D$9)^5</f>
        <v>72756.001172071192</v>
      </c>
      <c r="J46" s="412">
        <f>J26/(1+$D$9)^6</f>
        <v>69291.429687686847</v>
      </c>
      <c r="K46" s="412">
        <f>K26/(1+$D$9)^7</f>
        <v>65991.837797796994</v>
      </c>
      <c r="L46" s="368"/>
      <c r="M46" s="364"/>
    </row>
    <row r="47" spans="2:13" ht="15.75" customHeight="1" x14ac:dyDescent="0.2">
      <c r="B47" s="365"/>
      <c r="C47" s="367" t="s">
        <v>8</v>
      </c>
      <c r="D47" s="367"/>
      <c r="E47" s="409">
        <f t="shared" ref="E47:K47" si="10">E44-E45-E46</f>
        <v>121088.43537414967</v>
      </c>
      <c r="F47" s="409">
        <f t="shared" si="10"/>
        <v>128428.89536767085</v>
      </c>
      <c r="G47" s="409">
        <f t="shared" si="10"/>
        <v>135539.01923581219</v>
      </c>
      <c r="H47" s="409">
        <f t="shared" si="10"/>
        <v>142428.64003608134</v>
      </c>
      <c r="I47" s="409">
        <f t="shared" si="10"/>
        <v>149107.1333978133</v>
      </c>
      <c r="J47" s="409">
        <f t="shared" si="10"/>
        <v>155583.43920148676</v>
      </c>
      <c r="K47" s="409">
        <f t="shared" si="10"/>
        <v>161866.08222667244</v>
      </c>
      <c r="L47" s="368"/>
      <c r="M47" s="364"/>
    </row>
    <row r="48" spans="2:13" ht="15.75" customHeight="1" x14ac:dyDescent="0.2">
      <c r="B48" s="365"/>
      <c r="C48" s="369" t="s">
        <v>76</v>
      </c>
      <c r="D48" s="369"/>
      <c r="E48" s="411">
        <f t="shared" ref="E48:K48" si="11">E47*$D$13</f>
        <v>29061.224489795921</v>
      </c>
      <c r="F48" s="411">
        <f t="shared" si="11"/>
        <v>30822.934888241001</v>
      </c>
      <c r="G48" s="411">
        <f t="shared" si="11"/>
        <v>32529.364616594925</v>
      </c>
      <c r="H48" s="411">
        <f t="shared" si="11"/>
        <v>34182.873608659524</v>
      </c>
      <c r="I48" s="411">
        <f t="shared" si="11"/>
        <v>35785.71201547519</v>
      </c>
      <c r="J48" s="411">
        <f t="shared" si="11"/>
        <v>37340.025408356822</v>
      </c>
      <c r="K48" s="411">
        <f t="shared" si="11"/>
        <v>38847.859734401383</v>
      </c>
      <c r="L48" s="368"/>
      <c r="M48" s="364"/>
    </row>
    <row r="49" spans="2:13" ht="15.75" customHeight="1" thickBot="1" x14ac:dyDescent="0.25">
      <c r="B49" s="365"/>
      <c r="C49" s="369" t="s">
        <v>110</v>
      </c>
      <c r="D49" s="369"/>
      <c r="E49" s="410">
        <f t="shared" ref="E49:K49" si="12">E47-E48</f>
        <v>92027.210884353757</v>
      </c>
      <c r="F49" s="410">
        <f t="shared" si="12"/>
        <v>97605.96047942985</v>
      </c>
      <c r="G49" s="410">
        <f t="shared" si="12"/>
        <v>103009.65461921727</v>
      </c>
      <c r="H49" s="410">
        <f t="shared" si="12"/>
        <v>108245.76642742183</v>
      </c>
      <c r="I49" s="410">
        <f t="shared" si="12"/>
        <v>113321.42138233811</v>
      </c>
      <c r="J49" s="410">
        <f t="shared" si="12"/>
        <v>118243.41379312993</v>
      </c>
      <c r="K49" s="410">
        <f t="shared" si="12"/>
        <v>123018.22249227106</v>
      </c>
      <c r="L49" s="368"/>
      <c r="M49" s="364"/>
    </row>
    <row r="50" spans="2:13" ht="15.75" customHeight="1" thickTop="1" x14ac:dyDescent="0.2">
      <c r="B50" s="365"/>
      <c r="C50" s="369" t="s">
        <v>11</v>
      </c>
      <c r="D50" s="369"/>
      <c r="E50" s="409">
        <f t="shared" ref="E50:K50" si="13">E49+E46</f>
        <v>180462.58503401361</v>
      </c>
      <c r="F50" s="409">
        <f t="shared" si="13"/>
        <v>181830.12633624877</v>
      </c>
      <c r="G50" s="409">
        <f t="shared" si="13"/>
        <v>183223.14591142576</v>
      </c>
      <c r="H50" s="409">
        <f t="shared" si="13"/>
        <v>184639.56765809658</v>
      </c>
      <c r="I50" s="409">
        <f t="shared" si="13"/>
        <v>186077.42255440931</v>
      </c>
      <c r="J50" s="409">
        <f t="shared" si="13"/>
        <v>187534.84348081678</v>
      </c>
      <c r="K50" s="409">
        <f t="shared" si="13"/>
        <v>189010.06029006804</v>
      </c>
      <c r="L50" s="368"/>
      <c r="M50" s="364"/>
    </row>
    <row r="51" spans="2:13" ht="15.75" customHeight="1" x14ac:dyDescent="0.2">
      <c r="B51" s="365"/>
      <c r="C51" s="369"/>
      <c r="D51" s="369"/>
      <c r="E51" s="369"/>
      <c r="F51" s="369"/>
      <c r="G51" s="369"/>
      <c r="H51" s="369"/>
      <c r="I51" s="369"/>
      <c r="J51" s="369"/>
      <c r="K51" s="369"/>
      <c r="L51" s="368"/>
      <c r="M51" s="364"/>
    </row>
    <row r="52" spans="2:13" ht="15.75" customHeight="1" x14ac:dyDescent="0.2">
      <c r="B52" s="365"/>
      <c r="C52" s="369" t="s">
        <v>114</v>
      </c>
      <c r="D52" s="408">
        <f>-D7</f>
        <v>-650000</v>
      </c>
      <c r="E52" s="407"/>
      <c r="F52" s="407"/>
      <c r="G52" s="407"/>
      <c r="H52" s="407"/>
      <c r="I52" s="407"/>
      <c r="J52" s="407"/>
      <c r="K52" s="407"/>
      <c r="L52" s="368"/>
      <c r="M52" s="364"/>
    </row>
    <row r="53" spans="2:13" ht="15.75" customHeight="1" x14ac:dyDescent="0.2">
      <c r="B53" s="365"/>
      <c r="C53" s="369"/>
      <c r="D53" s="369"/>
      <c r="E53" s="369"/>
      <c r="F53" s="369"/>
      <c r="G53" s="369"/>
      <c r="H53" s="369"/>
      <c r="I53" s="369"/>
      <c r="J53" s="369"/>
      <c r="K53" s="369"/>
      <c r="L53" s="368"/>
      <c r="M53" s="364"/>
    </row>
    <row r="54" spans="2:13" ht="15.75" customHeight="1" x14ac:dyDescent="0.2">
      <c r="B54" s="365"/>
      <c r="C54" s="369" t="s">
        <v>115</v>
      </c>
      <c r="D54" s="377">
        <f>D52</f>
        <v>-650000</v>
      </c>
      <c r="E54" s="406">
        <f t="shared" ref="E54:K54" si="14">E50</f>
        <v>180462.58503401361</v>
      </c>
      <c r="F54" s="406">
        <f t="shared" si="14"/>
        <v>181830.12633624877</v>
      </c>
      <c r="G54" s="406">
        <f t="shared" si="14"/>
        <v>183223.14591142576</v>
      </c>
      <c r="H54" s="406">
        <f t="shared" si="14"/>
        <v>184639.56765809658</v>
      </c>
      <c r="I54" s="406">
        <f t="shared" si="14"/>
        <v>186077.42255440931</v>
      </c>
      <c r="J54" s="406">
        <f t="shared" si="14"/>
        <v>187534.84348081678</v>
      </c>
      <c r="K54" s="406">
        <f t="shared" si="14"/>
        <v>189010.06029006804</v>
      </c>
      <c r="L54" s="368"/>
      <c r="M54" s="364"/>
    </row>
    <row r="55" spans="2:13" ht="15.75" customHeight="1" x14ac:dyDescent="0.2">
      <c r="B55" s="365"/>
      <c r="C55" s="367"/>
      <c r="D55" s="367"/>
      <c r="E55" s="367"/>
      <c r="F55" s="367"/>
      <c r="G55" s="367"/>
      <c r="H55" s="367"/>
      <c r="I55" s="367"/>
      <c r="J55" s="367"/>
      <c r="K55" s="367"/>
      <c r="L55" s="368"/>
      <c r="M55" s="364"/>
    </row>
    <row r="56" spans="2:13" ht="15.75" customHeight="1" x14ac:dyDescent="0.25">
      <c r="B56" s="365"/>
      <c r="C56" s="369" t="s">
        <v>20</v>
      </c>
      <c r="D56" s="378">
        <f>NPV(D12,E54:K54)+D54</f>
        <v>343238.38446420897</v>
      </c>
      <c r="E56" s="367"/>
      <c r="F56" s="367"/>
      <c r="G56" s="367"/>
      <c r="H56" s="367"/>
      <c r="I56" s="367"/>
      <c r="J56" s="367"/>
      <c r="K56" s="367"/>
      <c r="L56" s="368"/>
      <c r="M56" s="364"/>
    </row>
    <row r="57" spans="2:13" ht="15.75" customHeight="1" x14ac:dyDescent="0.2">
      <c r="B57" s="365"/>
      <c r="C57" s="367"/>
      <c r="D57" s="367"/>
      <c r="E57" s="367"/>
      <c r="F57" s="367"/>
      <c r="G57" s="367"/>
      <c r="H57" s="367"/>
      <c r="I57" s="367"/>
      <c r="J57" s="367"/>
      <c r="K57" s="367"/>
      <c r="L57" s="368"/>
      <c r="M57" s="364"/>
    </row>
    <row r="58" spans="2:13" ht="15.75" customHeight="1" x14ac:dyDescent="0.2">
      <c r="B58" s="365"/>
      <c r="C58" s="369" t="s">
        <v>245</v>
      </c>
      <c r="D58" s="406">
        <f>D8*((1/(D21-D9)-((1/(D21-D9))*(((1+D9)/(1+D21))^D14))))</f>
        <v>2899950.9637442967</v>
      </c>
      <c r="E58" s="369"/>
      <c r="F58" s="369"/>
      <c r="G58" s="369"/>
      <c r="H58" s="369"/>
      <c r="I58" s="369"/>
      <c r="J58" s="369"/>
      <c r="K58" s="369"/>
      <c r="L58" s="368"/>
      <c r="M58" s="364"/>
    </row>
    <row r="59" spans="2:13" ht="15.75" customHeight="1" x14ac:dyDescent="0.2">
      <c r="B59" s="365"/>
      <c r="C59" s="369" t="s">
        <v>246</v>
      </c>
      <c r="D59" s="406">
        <f>D58*(1-D13)</f>
        <v>2203962.7324456656</v>
      </c>
      <c r="E59" s="369"/>
      <c r="F59" s="369"/>
      <c r="G59" s="369"/>
      <c r="H59" s="369"/>
      <c r="I59" s="369"/>
      <c r="J59" s="369"/>
      <c r="K59" s="369"/>
      <c r="L59" s="368"/>
      <c r="M59" s="364"/>
    </row>
    <row r="60" spans="2:13" ht="15.75" customHeight="1" x14ac:dyDescent="0.2">
      <c r="B60" s="365"/>
      <c r="C60" s="369"/>
      <c r="D60" s="406"/>
      <c r="E60" s="369"/>
      <c r="F60" s="369"/>
      <c r="G60" s="369"/>
      <c r="H60" s="369"/>
      <c r="I60" s="369"/>
      <c r="J60" s="369"/>
      <c r="K60" s="369"/>
      <c r="L60" s="368"/>
      <c r="M60" s="364"/>
    </row>
    <row r="61" spans="2:13" ht="15.75" customHeight="1" x14ac:dyDescent="0.2">
      <c r="B61" s="365"/>
      <c r="C61" s="369" t="s">
        <v>247</v>
      </c>
      <c r="D61" s="406">
        <f>D10*((1/(D21-D11)-((1/(D21-D11))*(((1+D11)/(1+D21))^D14))))</f>
        <v>1725410.5611784365</v>
      </c>
      <c r="E61" s="369"/>
      <c r="F61" s="369"/>
      <c r="G61" s="369"/>
      <c r="H61" s="369"/>
      <c r="I61" s="369"/>
      <c r="J61" s="369"/>
      <c r="K61" s="369"/>
      <c r="L61" s="368"/>
      <c r="M61" s="364"/>
    </row>
    <row r="62" spans="2:13" ht="15.75" customHeight="1" x14ac:dyDescent="0.2">
      <c r="B62" s="365"/>
      <c r="C62" s="400" t="s">
        <v>248</v>
      </c>
      <c r="D62" s="405">
        <f>D61*(1-D13)</f>
        <v>1311312.0264956118</v>
      </c>
      <c r="E62" s="404"/>
      <c r="F62" s="404"/>
      <c r="G62" s="404"/>
      <c r="H62" s="404"/>
      <c r="I62" s="404"/>
      <c r="J62" s="404"/>
      <c r="K62" s="404"/>
      <c r="L62" s="368"/>
      <c r="M62" s="364"/>
    </row>
    <row r="63" spans="2:13" ht="15.75" customHeight="1" x14ac:dyDescent="0.2">
      <c r="B63" s="365"/>
      <c r="C63" s="400"/>
      <c r="D63" s="403"/>
      <c r="E63" s="398"/>
      <c r="F63" s="398"/>
      <c r="G63" s="398"/>
      <c r="H63" s="398"/>
      <c r="I63" s="398"/>
      <c r="J63" s="398"/>
      <c r="K63" s="398"/>
      <c r="L63" s="368"/>
      <c r="M63" s="364"/>
    </row>
    <row r="64" spans="2:13" ht="15.75" customHeight="1" x14ac:dyDescent="0.2">
      <c r="B64" s="365"/>
      <c r="C64" s="400" t="s">
        <v>249</v>
      </c>
      <c r="D64" s="402">
        <f>PV(D21,D14,-(D7/D14))*D13</f>
        <v>100587.67851415371</v>
      </c>
      <c r="E64" s="398"/>
      <c r="F64" s="398"/>
      <c r="G64" s="398"/>
      <c r="H64" s="398"/>
      <c r="I64" s="398"/>
      <c r="J64" s="398"/>
      <c r="K64" s="398"/>
      <c r="L64" s="368"/>
      <c r="M64" s="364"/>
    </row>
    <row r="65" spans="2:13" ht="15.75" customHeight="1" x14ac:dyDescent="0.2">
      <c r="B65" s="365"/>
      <c r="C65" s="400"/>
      <c r="D65" s="401"/>
      <c r="E65" s="398"/>
      <c r="F65" s="398"/>
      <c r="G65" s="398"/>
      <c r="H65" s="398"/>
      <c r="I65" s="398"/>
      <c r="J65" s="398"/>
      <c r="K65" s="398"/>
      <c r="L65" s="368"/>
      <c r="M65" s="364"/>
    </row>
    <row r="66" spans="2:13" ht="15.75" customHeight="1" x14ac:dyDescent="0.25">
      <c r="B66" s="365"/>
      <c r="C66" s="400" t="s">
        <v>20</v>
      </c>
      <c r="D66" s="399">
        <f>-D7+D59-D62+D64</f>
        <v>343238.38446420757</v>
      </c>
      <c r="E66" s="398"/>
      <c r="F66" s="398"/>
      <c r="G66" s="398"/>
      <c r="H66" s="398"/>
      <c r="I66" s="398"/>
      <c r="J66" s="398"/>
      <c r="K66" s="398"/>
      <c r="L66" s="368"/>
      <c r="M66" s="397"/>
    </row>
    <row r="67" spans="2:13" ht="15.75" customHeight="1" thickBot="1" x14ac:dyDescent="0.25">
      <c r="B67" s="379"/>
      <c r="C67" s="380"/>
      <c r="D67" s="380"/>
      <c r="E67" s="380"/>
      <c r="F67" s="380"/>
      <c r="G67" s="380"/>
      <c r="H67" s="380"/>
      <c r="I67" s="380"/>
      <c r="J67" s="380"/>
      <c r="K67" s="380"/>
      <c r="L67" s="381"/>
      <c r="M67" s="364"/>
    </row>
    <row r="68" spans="2:13" ht="15.75" customHeight="1" x14ac:dyDescent="0.2">
      <c r="B68" s="382"/>
      <c r="C68" s="382"/>
      <c r="D68" s="382"/>
      <c r="E68" s="382"/>
      <c r="F68" s="382"/>
      <c r="G68" s="382"/>
      <c r="H68" s="382"/>
    </row>
    <row r="69" spans="2:13" ht="15.75" customHeight="1" x14ac:dyDescent="0.2"/>
    <row r="70" spans="2:13" ht="15.75" customHeight="1" x14ac:dyDescent="0.2">
      <c r="D70" s="383"/>
    </row>
    <row r="71" spans="2:13" ht="15.75" customHeight="1" x14ac:dyDescent="0.2"/>
    <row r="72" spans="2:13" ht="15.75" customHeight="1" x14ac:dyDescent="0.2"/>
    <row r="73" spans="2:13" ht="15.75" customHeight="1" x14ac:dyDescent="0.2"/>
    <row r="74" spans="2:13" ht="15.75" customHeight="1" x14ac:dyDescent="0.2"/>
    <row r="75" spans="2:13" ht="15.75" customHeight="1" x14ac:dyDescent="0.2"/>
    <row r="76" spans="2:13" ht="15.75" customHeight="1" x14ac:dyDescent="0.2"/>
    <row r="77" spans="2:13" ht="15.75" customHeight="1" x14ac:dyDescent="0.2"/>
    <row r="78" spans="2:13" ht="15.75" customHeight="1" x14ac:dyDescent="0.2"/>
  </sheetData>
  <pageMargins left="0.75" right="0.75" top="1" bottom="1" header="0.5" footer="0.5"/>
  <pageSetup scale="55" orientation="portrait" horizontalDpi="360" verticalDpi="360" r:id="rId1"/>
  <headerFooter alignWithMargins="0"/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0.42578125" bestFit="1" customWidth="1"/>
    <col min="4" max="4" width="17.5703125" bestFit="1" customWidth="1"/>
    <col min="5" max="9" width="15.140625" customWidth="1"/>
    <col min="10" max="10" width="3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129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253</v>
      </c>
      <c r="D7" s="89">
        <v>10400</v>
      </c>
      <c r="E7" s="9"/>
    </row>
    <row r="8" spans="2:5" ht="15.75" customHeight="1" x14ac:dyDescent="0.2">
      <c r="B8" s="8"/>
      <c r="C8" s="13" t="s">
        <v>252</v>
      </c>
      <c r="D8" s="151">
        <v>0.08</v>
      </c>
      <c r="E8" s="9"/>
    </row>
    <row r="9" spans="2:5" ht="15.75" customHeight="1" x14ac:dyDescent="0.2">
      <c r="B9" s="8"/>
      <c r="C9" s="13" t="s">
        <v>87</v>
      </c>
      <c r="D9" s="259">
        <v>45000</v>
      </c>
      <c r="E9" s="9"/>
    </row>
    <row r="10" spans="2:5" ht="15.75" customHeight="1" x14ac:dyDescent="0.2">
      <c r="B10" s="8"/>
      <c r="C10" s="13" t="s">
        <v>78</v>
      </c>
      <c r="D10" s="83">
        <v>125000</v>
      </c>
      <c r="E10" s="9"/>
    </row>
    <row r="11" spans="2:5" ht="15.75" customHeight="1" x14ac:dyDescent="0.2">
      <c r="B11" s="8"/>
      <c r="C11" s="13" t="s">
        <v>77</v>
      </c>
      <c r="D11" s="259">
        <v>19</v>
      </c>
      <c r="E11" s="9"/>
    </row>
    <row r="12" spans="2:5" ht="15.75" customHeight="1" x14ac:dyDescent="0.2">
      <c r="B12" s="8"/>
      <c r="C12" s="13" t="s">
        <v>105</v>
      </c>
      <c r="D12" s="259">
        <v>61</v>
      </c>
      <c r="E12" s="9"/>
    </row>
    <row r="13" spans="2:5" ht="15.75" customHeight="1" x14ac:dyDescent="0.2">
      <c r="B13" s="8"/>
      <c r="C13" s="13" t="s">
        <v>30</v>
      </c>
      <c r="D13" s="259">
        <v>575000</v>
      </c>
      <c r="E13" s="9"/>
    </row>
    <row r="14" spans="2:5" ht="15.75" customHeight="1" x14ac:dyDescent="0.2">
      <c r="B14" s="8"/>
      <c r="C14" s="13" t="s">
        <v>6</v>
      </c>
      <c r="D14" s="151">
        <v>0.21</v>
      </c>
      <c r="E14" s="9"/>
    </row>
    <row r="15" spans="2:5" ht="15.75" customHeight="1" x14ac:dyDescent="0.2">
      <c r="B15" s="8"/>
      <c r="C15" s="13" t="s">
        <v>19</v>
      </c>
      <c r="D15" s="151">
        <v>0.18</v>
      </c>
      <c r="E15" s="9"/>
    </row>
    <row r="16" spans="2:5" ht="15.75" customHeight="1" x14ac:dyDescent="0.2">
      <c r="B16" s="8"/>
      <c r="C16" s="13" t="s">
        <v>51</v>
      </c>
      <c r="D16" s="59"/>
      <c r="E16" s="9"/>
    </row>
    <row r="17" spans="2:11" ht="15.75" customHeight="1" thickBot="1" x14ac:dyDescent="0.25">
      <c r="B17" s="10"/>
      <c r="C17" s="28"/>
      <c r="D17" s="61"/>
      <c r="E17" s="12"/>
    </row>
    <row r="18" spans="2:11" ht="15.75" customHeight="1" x14ac:dyDescent="0.2"/>
    <row r="19" spans="2:11" ht="15.75" customHeight="1" x14ac:dyDescent="0.2">
      <c r="C19" s="2" t="s">
        <v>2</v>
      </c>
    </row>
    <row r="20" spans="2:11" ht="15.75" customHeight="1" thickBot="1" x14ac:dyDescent="0.25"/>
    <row r="21" spans="2:11" ht="15.75" customHeight="1" x14ac:dyDescent="0.2">
      <c r="B21" s="15"/>
      <c r="C21" s="16"/>
      <c r="D21" s="16"/>
      <c r="E21" s="16"/>
      <c r="F21" s="16"/>
      <c r="G21" s="16"/>
      <c r="H21" s="16"/>
      <c r="I21" s="16"/>
      <c r="J21" s="17"/>
      <c r="K21" s="30"/>
    </row>
    <row r="22" spans="2:11" ht="15.75" customHeight="1" x14ac:dyDescent="0.2">
      <c r="B22" s="18"/>
      <c r="C22" s="19" t="s">
        <v>254</v>
      </c>
      <c r="D22" s="20"/>
      <c r="E22" s="79">
        <f>D7</f>
        <v>10400</v>
      </c>
      <c r="F22" s="79">
        <f>(E22*(1+$D$8))</f>
        <v>11232</v>
      </c>
      <c r="G22" s="79">
        <f>(F22*(1+$D$8))</f>
        <v>12130.560000000001</v>
      </c>
      <c r="H22" s="79">
        <f>(G22*(1+$D$8))</f>
        <v>13101.004800000002</v>
      </c>
      <c r="I22" s="79">
        <f>(H22*(1+$D$8))</f>
        <v>14149.085184000003</v>
      </c>
      <c r="J22" s="21"/>
      <c r="K22" s="30"/>
    </row>
    <row r="23" spans="2:11" ht="15.75" customHeight="1" x14ac:dyDescent="0.2">
      <c r="B23" s="18"/>
      <c r="C23" s="20"/>
      <c r="D23" s="20"/>
      <c r="E23" s="20"/>
      <c r="F23" s="20"/>
      <c r="G23" s="20"/>
      <c r="H23" s="20"/>
      <c r="I23" s="20"/>
      <c r="J23" s="21"/>
      <c r="K23" s="30"/>
    </row>
    <row r="24" spans="2:11" ht="15.75" customHeight="1" x14ac:dyDescent="0.2">
      <c r="B24" s="18"/>
      <c r="C24" s="260"/>
      <c r="D24" s="261" t="s">
        <v>175</v>
      </c>
      <c r="E24" s="261" t="s">
        <v>176</v>
      </c>
      <c r="F24" s="261" t="s">
        <v>177</v>
      </c>
      <c r="G24" s="261" t="s">
        <v>178</v>
      </c>
      <c r="H24" s="261" t="s">
        <v>179</v>
      </c>
      <c r="I24" s="261" t="s">
        <v>220</v>
      </c>
      <c r="J24" s="21"/>
      <c r="K24" s="30"/>
    </row>
    <row r="25" spans="2:11" ht="15.75" customHeight="1" x14ac:dyDescent="0.2">
      <c r="B25" s="18"/>
      <c r="C25" s="19" t="s">
        <v>242</v>
      </c>
      <c r="D25" s="19"/>
      <c r="E25" s="222">
        <f>E22*$D$12</f>
        <v>634400</v>
      </c>
      <c r="F25" s="222">
        <f>F22*$D$12</f>
        <v>685152</v>
      </c>
      <c r="G25" s="222">
        <f>G22*$D$12</f>
        <v>739964.16</v>
      </c>
      <c r="H25" s="222">
        <f>H22*$D$12</f>
        <v>799161.29280000017</v>
      </c>
      <c r="I25" s="222">
        <f>I22*$D$12</f>
        <v>863094.19622400019</v>
      </c>
      <c r="J25" s="21"/>
      <c r="K25" s="30"/>
    </row>
    <row r="26" spans="2:11" ht="15.75" customHeight="1" x14ac:dyDescent="0.2">
      <c r="B26" s="18"/>
      <c r="C26" s="19" t="s">
        <v>78</v>
      </c>
      <c r="D26" s="19"/>
      <c r="E26" s="231">
        <f>$D$10</f>
        <v>125000</v>
      </c>
      <c r="F26" s="231">
        <f>$D$10</f>
        <v>125000</v>
      </c>
      <c r="G26" s="231">
        <f>$D$10</f>
        <v>125000</v>
      </c>
      <c r="H26" s="231">
        <f>$D$10</f>
        <v>125000</v>
      </c>
      <c r="I26" s="231">
        <f>$D$10</f>
        <v>125000</v>
      </c>
      <c r="J26" s="21"/>
      <c r="K26" s="30"/>
    </row>
    <row r="27" spans="2:11" ht="15.75" customHeight="1" x14ac:dyDescent="0.2">
      <c r="B27" s="18"/>
      <c r="C27" s="19" t="s">
        <v>77</v>
      </c>
      <c r="D27" s="19"/>
      <c r="E27" s="231">
        <f>E22*$D$11</f>
        <v>197600</v>
      </c>
      <c r="F27" s="231">
        <f>F22*$D$11</f>
        <v>213408</v>
      </c>
      <c r="G27" s="231">
        <f>G22*$D$11</f>
        <v>230480.64000000001</v>
      </c>
      <c r="H27" s="231">
        <f>H22*$D$11</f>
        <v>248919.09120000005</v>
      </c>
      <c r="I27" s="231">
        <f>I22*$D$11</f>
        <v>268832.61849600007</v>
      </c>
      <c r="J27" s="21"/>
      <c r="K27" s="30"/>
    </row>
    <row r="28" spans="2:11" ht="15.75" customHeight="1" x14ac:dyDescent="0.2">
      <c r="B28" s="18"/>
      <c r="C28" s="19" t="s">
        <v>5</v>
      </c>
      <c r="D28" s="19"/>
      <c r="E28" s="273">
        <f>D13/5</f>
        <v>115000</v>
      </c>
      <c r="F28" s="273">
        <f>E28</f>
        <v>115000</v>
      </c>
      <c r="G28" s="273">
        <f>F28</f>
        <v>115000</v>
      </c>
      <c r="H28" s="273">
        <f>G28</f>
        <v>115000</v>
      </c>
      <c r="I28" s="273">
        <f>H28</f>
        <v>115000</v>
      </c>
      <c r="J28" s="21"/>
      <c r="K28" s="30"/>
    </row>
    <row r="29" spans="2:11" ht="15.75" customHeight="1" x14ac:dyDescent="0.2">
      <c r="B29" s="18"/>
      <c r="C29" s="19" t="s">
        <v>8</v>
      </c>
      <c r="D29" s="20"/>
      <c r="E29" s="222">
        <f>E25-E26-E27-E28</f>
        <v>196800</v>
      </c>
      <c r="F29" s="222">
        <f>F25-F26-F27-F28</f>
        <v>231744</v>
      </c>
      <c r="G29" s="222">
        <f>G25-G26-G27-G28</f>
        <v>269483.52000000002</v>
      </c>
      <c r="H29" s="222">
        <f>H25-H26-H27-H28</f>
        <v>310242.20160000015</v>
      </c>
      <c r="I29" s="222">
        <f>I25-I26-I27-I28</f>
        <v>354261.57772800012</v>
      </c>
      <c r="J29" s="21"/>
      <c r="K29" s="30"/>
    </row>
    <row r="30" spans="2:11" ht="15.75" customHeight="1" x14ac:dyDescent="0.2">
      <c r="B30" s="18"/>
      <c r="C30" s="19" t="s">
        <v>76</v>
      </c>
      <c r="D30" s="19"/>
      <c r="E30" s="231">
        <f>E29*$D$14</f>
        <v>41328</v>
      </c>
      <c r="F30" s="231">
        <f>F29*$D$14</f>
        <v>48666.239999999998</v>
      </c>
      <c r="G30" s="231">
        <f>G29*$D$14</f>
        <v>56591.539199999999</v>
      </c>
      <c r="H30" s="231">
        <f>H29*$D$14</f>
        <v>65150.862336000027</v>
      </c>
      <c r="I30" s="231">
        <f>I29*$D$14</f>
        <v>74394.931322880017</v>
      </c>
      <c r="J30" s="21"/>
      <c r="K30" s="30"/>
    </row>
    <row r="31" spans="2:11" ht="15.75" customHeight="1" thickBot="1" x14ac:dyDescent="0.25">
      <c r="B31" s="18"/>
      <c r="C31" s="19" t="s">
        <v>110</v>
      </c>
      <c r="D31" s="19"/>
      <c r="E31" s="272">
        <f>E29-E30</f>
        <v>155472</v>
      </c>
      <c r="F31" s="272">
        <f>F29-F30</f>
        <v>183077.76000000001</v>
      </c>
      <c r="G31" s="272">
        <f>G29-G30</f>
        <v>212891.98080000002</v>
      </c>
      <c r="H31" s="272">
        <f>H29-H30</f>
        <v>245091.33926400013</v>
      </c>
      <c r="I31" s="272">
        <f>I29-I30</f>
        <v>279866.64640512009</v>
      </c>
      <c r="J31" s="21"/>
      <c r="K31" s="30"/>
    </row>
    <row r="32" spans="2:11" ht="15.75" customHeight="1" thickTop="1" x14ac:dyDescent="0.2">
      <c r="B32" s="18"/>
      <c r="C32" s="19" t="s">
        <v>11</v>
      </c>
      <c r="D32" s="19"/>
      <c r="E32" s="222">
        <f>E31+E28</f>
        <v>270472</v>
      </c>
      <c r="F32" s="222">
        <f>F31+F28</f>
        <v>298077.76</v>
      </c>
      <c r="G32" s="222">
        <f>G31+G28</f>
        <v>327891.98080000002</v>
      </c>
      <c r="H32" s="222">
        <f>H31+H28</f>
        <v>360091.33926400013</v>
      </c>
      <c r="I32" s="222">
        <f>I31+I28</f>
        <v>394866.64640512009</v>
      </c>
      <c r="J32" s="21"/>
      <c r="K32" s="30"/>
    </row>
    <row r="33" spans="2:11" ht="15.75" customHeight="1" x14ac:dyDescent="0.2">
      <c r="B33" s="18"/>
      <c r="C33" s="19"/>
      <c r="D33" s="19"/>
      <c r="E33" s="19"/>
      <c r="F33" s="19"/>
      <c r="G33" s="19"/>
      <c r="H33" s="19"/>
      <c r="I33" s="19"/>
      <c r="J33" s="21"/>
      <c r="K33" s="30"/>
    </row>
    <row r="34" spans="2:11" ht="15.75" customHeight="1" x14ac:dyDescent="0.2">
      <c r="B34" s="18"/>
      <c r="C34" s="19" t="s">
        <v>114</v>
      </c>
      <c r="D34" s="78">
        <f>-D13</f>
        <v>-575000</v>
      </c>
      <c r="E34" s="19"/>
      <c r="F34" s="19"/>
      <c r="G34" s="19"/>
      <c r="H34" s="19"/>
      <c r="I34" s="19"/>
      <c r="J34" s="21"/>
      <c r="K34" s="30"/>
    </row>
    <row r="35" spans="2:11" ht="15.75" customHeight="1" x14ac:dyDescent="0.2">
      <c r="B35" s="18"/>
      <c r="C35" s="19" t="s">
        <v>87</v>
      </c>
      <c r="D35" s="81">
        <f>-D9</f>
        <v>-45000</v>
      </c>
      <c r="E35" s="392"/>
      <c r="F35" s="392"/>
      <c r="G35" s="392"/>
      <c r="H35" s="392"/>
      <c r="I35" s="81">
        <f>D9</f>
        <v>45000</v>
      </c>
      <c r="J35" s="21"/>
      <c r="K35" s="30"/>
    </row>
    <row r="36" spans="2:11" ht="15.75" customHeight="1" x14ac:dyDescent="0.2">
      <c r="B36" s="18"/>
      <c r="C36" s="19"/>
      <c r="D36" s="19"/>
      <c r="E36" s="19"/>
      <c r="F36" s="19"/>
      <c r="G36" s="19"/>
      <c r="H36" s="19"/>
      <c r="I36" s="19"/>
      <c r="J36" s="21"/>
      <c r="K36" s="30"/>
    </row>
    <row r="37" spans="2:11" ht="15.75" customHeight="1" x14ac:dyDescent="0.2">
      <c r="B37" s="18"/>
      <c r="C37" s="19" t="s">
        <v>115</v>
      </c>
      <c r="D37" s="85">
        <f t="shared" ref="D37:I37" si="0">D34+D35+D32</f>
        <v>-620000</v>
      </c>
      <c r="E37" s="85">
        <f t="shared" si="0"/>
        <v>270472</v>
      </c>
      <c r="F37" s="85">
        <f t="shared" si="0"/>
        <v>298077.76</v>
      </c>
      <c r="G37" s="85">
        <f t="shared" si="0"/>
        <v>327891.98080000002</v>
      </c>
      <c r="H37" s="85">
        <f t="shared" si="0"/>
        <v>360091.33926400013</v>
      </c>
      <c r="I37" s="85">
        <f t="shared" si="0"/>
        <v>439866.64640512009</v>
      </c>
      <c r="J37" s="21"/>
      <c r="K37" s="30"/>
    </row>
    <row r="38" spans="2:11" ht="15.75" customHeight="1" x14ac:dyDescent="0.2">
      <c r="B38" s="18"/>
      <c r="C38" s="20"/>
      <c r="D38" s="20"/>
      <c r="E38" s="20"/>
      <c r="F38" s="20"/>
      <c r="G38" s="20"/>
      <c r="H38" s="20"/>
      <c r="I38" s="20"/>
      <c r="J38" s="21"/>
      <c r="K38" s="30"/>
    </row>
    <row r="39" spans="2:11" ht="15.75" customHeight="1" x14ac:dyDescent="0.25">
      <c r="B39" s="18"/>
      <c r="C39" s="19" t="s">
        <v>20</v>
      </c>
      <c r="D39" s="129">
        <f>NPV(D15,E37:I37)+D37</f>
        <v>400854.4197180802</v>
      </c>
      <c r="E39" s="260"/>
      <c r="F39" s="260"/>
      <c r="G39" s="260"/>
      <c r="H39" s="260"/>
      <c r="I39" s="260"/>
      <c r="J39" s="21"/>
      <c r="K39" s="30"/>
    </row>
    <row r="40" spans="2:11" ht="15.75" customHeight="1" x14ac:dyDescent="0.25">
      <c r="B40" s="18"/>
      <c r="C40" s="19"/>
      <c r="D40" s="86"/>
      <c r="E40" s="260"/>
      <c r="F40" s="260"/>
      <c r="G40" s="260"/>
      <c r="H40" s="260"/>
      <c r="I40" s="260"/>
      <c r="J40" s="21"/>
      <c r="K40" s="30"/>
    </row>
    <row r="41" spans="2:11" ht="15.75" customHeight="1" x14ac:dyDescent="0.25">
      <c r="B41" s="18"/>
      <c r="C41" s="260" t="s">
        <v>389</v>
      </c>
      <c r="D41" s="86"/>
      <c r="E41" s="260"/>
      <c r="F41" s="260"/>
      <c r="G41" s="260"/>
      <c r="H41" s="260"/>
      <c r="I41" s="260"/>
      <c r="J41" s="21"/>
      <c r="K41" s="30"/>
    </row>
    <row r="42" spans="2:11" ht="15.75" customHeight="1" x14ac:dyDescent="0.2">
      <c r="B42" s="18"/>
      <c r="C42" s="19" t="s">
        <v>390</v>
      </c>
      <c r="D42" s="85">
        <f>E25*((1/($D$15-$D$8))-((1/($D$15-$D$8))*(((1+$D$8)/(1+$D$15))^5)))</f>
        <v>2269522.5814390709</v>
      </c>
      <c r="E42" s="260"/>
      <c r="F42" s="260"/>
      <c r="G42" s="260"/>
      <c r="H42" s="260"/>
      <c r="I42" s="260"/>
      <c r="J42" s="21"/>
      <c r="K42" s="30"/>
    </row>
    <row r="43" spans="2:11" ht="15.75" customHeight="1" x14ac:dyDescent="0.2">
      <c r="B43" s="18"/>
      <c r="C43" s="19" t="s">
        <v>391</v>
      </c>
      <c r="D43" s="85">
        <f>E27*((1/($D$15-$D$8))-((1/($D$15-$D$8))*(((1+$D$8)/(1+$D$15))^5)))</f>
        <v>706900.47618594021</v>
      </c>
      <c r="E43" s="260"/>
      <c r="F43" s="260"/>
      <c r="G43" s="260"/>
      <c r="H43" s="260"/>
      <c r="I43" s="260"/>
      <c r="J43" s="21"/>
      <c r="K43" s="30"/>
    </row>
    <row r="44" spans="2:11" ht="15.75" customHeight="1" x14ac:dyDescent="0.2">
      <c r="B44" s="18"/>
      <c r="C44" s="19" t="s">
        <v>392</v>
      </c>
      <c r="D44" s="85">
        <f>PV(D15,5,-E26)</f>
        <v>390896.37761773699</v>
      </c>
      <c r="E44" s="260"/>
      <c r="F44" s="260"/>
      <c r="G44" s="260"/>
      <c r="H44" s="260"/>
      <c r="I44" s="260"/>
      <c r="J44" s="21"/>
      <c r="K44" s="30"/>
    </row>
    <row r="45" spans="2:11" ht="15.75" customHeight="1" x14ac:dyDescent="0.2">
      <c r="B45" s="18"/>
      <c r="C45" s="19" t="s">
        <v>393</v>
      </c>
      <c r="D45" s="85">
        <f>PV(D15,5,-E28)</f>
        <v>359624.66740831803</v>
      </c>
      <c r="E45" s="260"/>
      <c r="F45" s="260"/>
      <c r="G45" s="260"/>
      <c r="H45" s="260"/>
      <c r="I45" s="260"/>
      <c r="J45" s="21"/>
      <c r="K45" s="30"/>
    </row>
    <row r="46" spans="2:11" ht="15.75" customHeight="1" x14ac:dyDescent="0.25">
      <c r="B46" s="18"/>
      <c r="C46" s="19"/>
      <c r="D46" s="86"/>
      <c r="E46" s="260"/>
      <c r="F46" s="260"/>
      <c r="G46" s="260"/>
      <c r="H46" s="260"/>
      <c r="I46" s="260"/>
      <c r="J46" s="21"/>
      <c r="K46" s="30"/>
    </row>
    <row r="47" spans="2:11" ht="15.75" customHeight="1" x14ac:dyDescent="0.25">
      <c r="B47" s="18"/>
      <c r="C47" s="19" t="s">
        <v>20</v>
      </c>
      <c r="D47" s="129">
        <f>D37+((D42-D43-D44)*(1-D14))+(D45*D14)+(I35/((1+D15)^5))</f>
        <v>400854.41971807834</v>
      </c>
      <c r="E47" s="260"/>
      <c r="F47" s="260"/>
      <c r="G47" s="260"/>
      <c r="H47" s="260"/>
      <c r="I47" s="260"/>
      <c r="J47" s="21"/>
      <c r="K47" s="30"/>
    </row>
    <row r="48" spans="2:11" ht="15.75" customHeight="1" thickBot="1" x14ac:dyDescent="0.25">
      <c r="B48" s="23"/>
      <c r="C48" s="53"/>
      <c r="D48" s="53"/>
      <c r="E48" s="53"/>
      <c r="F48" s="53"/>
      <c r="G48" s="53"/>
      <c r="H48" s="53"/>
      <c r="I48" s="53"/>
      <c r="J48" s="25"/>
      <c r="K48" s="30"/>
    </row>
    <row r="49" spans="2:8" ht="15.75" customHeight="1" x14ac:dyDescent="0.2">
      <c r="B49" s="14"/>
      <c r="C49" s="14"/>
      <c r="D49" s="14"/>
      <c r="E49" s="14"/>
      <c r="F49" s="14"/>
      <c r="G49" s="14"/>
      <c r="H49" s="14"/>
    </row>
    <row r="50" spans="2:8" ht="15.75" customHeight="1" x14ac:dyDescent="0.2"/>
    <row r="51" spans="2:8" ht="15.75" customHeight="1" x14ac:dyDescent="0.2">
      <c r="D51" s="26"/>
    </row>
    <row r="52" spans="2:8" ht="15.75" customHeight="1" x14ac:dyDescent="0.2"/>
    <row r="53" spans="2:8" ht="15.75" customHeight="1" x14ac:dyDescent="0.2"/>
    <row r="54" spans="2:8" ht="15.75" customHeight="1" x14ac:dyDescent="0.2"/>
    <row r="55" spans="2:8" ht="15.75" customHeight="1" x14ac:dyDescent="0.2"/>
    <row r="56" spans="2:8" ht="15.75" customHeight="1" x14ac:dyDescent="0.2"/>
    <row r="57" spans="2:8" ht="15.75" customHeight="1" x14ac:dyDescent="0.2"/>
    <row r="58" spans="2:8" ht="15.75" customHeight="1" x14ac:dyDescent="0.2"/>
    <row r="59" spans="2:8" ht="15.75" customHeight="1" x14ac:dyDescent="0.2"/>
  </sheetData>
  <phoneticPr fontId="0" type="noConversion"/>
  <pageMargins left="0.75" right="0.75" top="1" bottom="1" header="0.5" footer="0.5"/>
  <pageSetup scale="66" orientation="portrait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5"/>
  <sheetViews>
    <sheetView zoomScaleNormal="100" workbookViewId="0">
      <selection activeCell="C2" sqref="C2"/>
    </sheetView>
  </sheetViews>
  <sheetFormatPr defaultRowHeight="12.75" x14ac:dyDescent="0.2"/>
  <cols>
    <col min="1" max="1" width="9.140625" style="345"/>
    <col min="2" max="2" width="3.140625" style="345" customWidth="1"/>
    <col min="3" max="3" width="23.140625" style="345" customWidth="1"/>
    <col min="4" max="4" width="18.28515625" style="345" bestFit="1" customWidth="1"/>
    <col min="5" max="8" width="17.5703125" style="345" bestFit="1" customWidth="1"/>
    <col min="9" max="9" width="3.140625" style="345" customWidth="1"/>
    <col min="10" max="16384" width="9.140625" style="345"/>
  </cols>
  <sheetData>
    <row r="1" spans="2:5" ht="18" x14ac:dyDescent="0.25">
      <c r="C1" s="346" t="s">
        <v>412</v>
      </c>
    </row>
    <row r="2" spans="2:5" ht="15.75" customHeight="1" x14ac:dyDescent="0.2">
      <c r="C2" s="347" t="s">
        <v>158</v>
      </c>
    </row>
    <row r="3" spans="2:5" ht="15.75" customHeight="1" x14ac:dyDescent="0.2"/>
    <row r="4" spans="2:5" ht="15.75" customHeight="1" x14ac:dyDescent="0.2">
      <c r="C4" s="348" t="s">
        <v>1</v>
      </c>
    </row>
    <row r="5" spans="2:5" ht="15.75" customHeight="1" thickBot="1" x14ac:dyDescent="0.25"/>
    <row r="6" spans="2:5" ht="15.75" customHeight="1" x14ac:dyDescent="0.2">
      <c r="B6" s="349"/>
      <c r="C6" s="350"/>
      <c r="D6" s="350"/>
      <c r="E6" s="351"/>
    </row>
    <row r="7" spans="2:5" ht="15.75" customHeight="1" x14ac:dyDescent="0.2">
      <c r="B7" s="352"/>
      <c r="C7" s="353" t="s">
        <v>255</v>
      </c>
      <c r="D7" s="354"/>
      <c r="E7" s="355"/>
    </row>
    <row r="8" spans="2:5" ht="15.75" customHeight="1" x14ac:dyDescent="0.2">
      <c r="B8" s="352"/>
      <c r="C8" s="353" t="s">
        <v>415</v>
      </c>
      <c r="D8" s="259">
        <v>900000</v>
      </c>
      <c r="E8" s="355"/>
    </row>
    <row r="9" spans="2:5" ht="15.75" customHeight="1" x14ac:dyDescent="0.2">
      <c r="B9" s="352"/>
      <c r="C9" s="353" t="s">
        <v>416</v>
      </c>
      <c r="D9" s="259">
        <v>1200000</v>
      </c>
      <c r="E9" s="355"/>
    </row>
    <row r="10" spans="2:5" ht="15.75" customHeight="1" x14ac:dyDescent="0.2">
      <c r="B10" s="352"/>
      <c r="C10" s="353" t="s">
        <v>262</v>
      </c>
      <c r="D10" s="259"/>
      <c r="E10" s="355"/>
    </row>
    <row r="11" spans="2:5" ht="15.75" customHeight="1" x14ac:dyDescent="0.2">
      <c r="B11" s="352"/>
      <c r="C11" s="353" t="s">
        <v>256</v>
      </c>
      <c r="D11" s="356">
        <v>7100</v>
      </c>
      <c r="E11" s="355"/>
    </row>
    <row r="12" spans="2:5" ht="15.75" customHeight="1" x14ac:dyDescent="0.2">
      <c r="B12" s="352"/>
      <c r="C12" s="353" t="s">
        <v>257</v>
      </c>
      <c r="D12" s="274">
        <v>7900</v>
      </c>
      <c r="E12" s="355"/>
    </row>
    <row r="13" spans="2:5" ht="15.75" customHeight="1" x14ac:dyDescent="0.2">
      <c r="B13" s="352"/>
      <c r="C13" s="353" t="s">
        <v>258</v>
      </c>
      <c r="D13" s="274">
        <v>9200</v>
      </c>
      <c r="E13" s="355"/>
    </row>
    <row r="14" spans="2:5" ht="15.75" customHeight="1" x14ac:dyDescent="0.2">
      <c r="B14" s="352"/>
      <c r="C14" s="353" t="s">
        <v>259</v>
      </c>
      <c r="D14" s="274">
        <v>6100</v>
      </c>
      <c r="E14" s="355"/>
    </row>
    <row r="15" spans="2:5" ht="15.75" customHeight="1" x14ac:dyDescent="0.2">
      <c r="B15" s="352"/>
      <c r="C15" s="353" t="s">
        <v>260</v>
      </c>
      <c r="D15" s="259">
        <v>305</v>
      </c>
      <c r="E15" s="355"/>
    </row>
    <row r="16" spans="2:5" ht="15.75" customHeight="1" x14ac:dyDescent="0.2">
      <c r="B16" s="352"/>
      <c r="C16" s="353" t="s">
        <v>78</v>
      </c>
      <c r="D16" s="259">
        <v>375000</v>
      </c>
      <c r="E16" s="355"/>
    </row>
    <row r="17" spans="2:10" ht="15.75" customHeight="1" x14ac:dyDescent="0.2">
      <c r="B17" s="352"/>
      <c r="C17" s="353" t="s">
        <v>77</v>
      </c>
      <c r="D17" s="151">
        <v>0.15</v>
      </c>
      <c r="E17" s="355"/>
    </row>
    <row r="18" spans="2:10" ht="15.75" customHeight="1" x14ac:dyDescent="0.2">
      <c r="B18" s="352"/>
      <c r="C18" s="353" t="s">
        <v>261</v>
      </c>
      <c r="D18" s="259">
        <v>3400000</v>
      </c>
      <c r="E18" s="355"/>
    </row>
    <row r="19" spans="2:10" ht="15.75" customHeight="1" x14ac:dyDescent="0.2">
      <c r="B19" s="352"/>
      <c r="C19" s="353" t="s">
        <v>32</v>
      </c>
      <c r="D19" s="259">
        <v>310000</v>
      </c>
      <c r="E19" s="355"/>
    </row>
    <row r="20" spans="2:10" ht="15.75" customHeight="1" x14ac:dyDescent="0.2">
      <c r="B20" s="352"/>
      <c r="C20" s="353" t="s">
        <v>87</v>
      </c>
      <c r="D20" s="259">
        <v>225000</v>
      </c>
      <c r="E20" s="355"/>
    </row>
    <row r="21" spans="2:10" ht="15.75" customHeight="1" x14ac:dyDescent="0.2">
      <c r="B21" s="352"/>
      <c r="C21" s="353" t="s">
        <v>6</v>
      </c>
      <c r="D21" s="151">
        <v>0.23</v>
      </c>
      <c r="E21" s="355"/>
    </row>
    <row r="22" spans="2:10" ht="15.75" customHeight="1" x14ac:dyDescent="0.2">
      <c r="B22" s="352"/>
      <c r="C22" s="353" t="s">
        <v>19</v>
      </c>
      <c r="D22" s="151">
        <v>0.13</v>
      </c>
      <c r="E22" s="355"/>
    </row>
    <row r="23" spans="2:10" ht="15.75" customHeight="1" x14ac:dyDescent="0.2">
      <c r="B23" s="352"/>
      <c r="C23" s="353" t="s">
        <v>263</v>
      </c>
      <c r="D23" s="153">
        <v>0.33329999999999999</v>
      </c>
      <c r="E23" s="355"/>
    </row>
    <row r="24" spans="2:10" ht="15.75" customHeight="1" x14ac:dyDescent="0.2">
      <c r="B24" s="352"/>
      <c r="C24" s="353" t="s">
        <v>264</v>
      </c>
      <c r="D24" s="153">
        <v>0.44450000000000001</v>
      </c>
      <c r="E24" s="355"/>
    </row>
    <row r="25" spans="2:10" ht="15.75" customHeight="1" x14ac:dyDescent="0.2">
      <c r="B25" s="352"/>
      <c r="C25" s="353" t="s">
        <v>265</v>
      </c>
      <c r="D25" s="153">
        <v>0.14810000000000001</v>
      </c>
      <c r="E25" s="355"/>
    </row>
    <row r="26" spans="2:10" ht="15.75" customHeight="1" x14ac:dyDescent="0.2">
      <c r="B26" s="352"/>
      <c r="C26" s="353" t="s">
        <v>266</v>
      </c>
      <c r="D26" s="153">
        <v>7.4099999999999999E-2</v>
      </c>
      <c r="E26" s="355"/>
    </row>
    <row r="27" spans="2:10" ht="15.75" customHeight="1" thickBot="1" x14ac:dyDescent="0.25">
      <c r="B27" s="357"/>
      <c r="C27" s="358"/>
      <c r="D27" s="359"/>
      <c r="E27" s="360"/>
    </row>
    <row r="28" spans="2:10" ht="15.75" customHeight="1" x14ac:dyDescent="0.2"/>
    <row r="29" spans="2:10" ht="15.75" customHeight="1" x14ac:dyDescent="0.2">
      <c r="C29" s="348" t="s">
        <v>2</v>
      </c>
    </row>
    <row r="30" spans="2:10" ht="15.75" customHeight="1" thickBot="1" x14ac:dyDescent="0.25"/>
    <row r="31" spans="2:10" ht="15.75" customHeight="1" x14ac:dyDescent="0.2">
      <c r="B31" s="361"/>
      <c r="C31" s="362"/>
      <c r="D31" s="362"/>
      <c r="E31" s="362"/>
      <c r="F31" s="362"/>
      <c r="G31" s="362"/>
      <c r="H31" s="362"/>
      <c r="I31" s="363"/>
      <c r="J31" s="364"/>
    </row>
    <row r="32" spans="2:10" ht="15.75" customHeight="1" x14ac:dyDescent="0.2">
      <c r="B32" s="365"/>
      <c r="C32" s="366" t="s">
        <v>27</v>
      </c>
      <c r="D32" s="367"/>
      <c r="E32" s="367"/>
      <c r="F32" s="367"/>
      <c r="G32" s="367"/>
      <c r="H32" s="367"/>
      <c r="I32" s="368"/>
      <c r="J32" s="364"/>
    </row>
    <row r="33" spans="2:10" ht="15.75" customHeight="1" x14ac:dyDescent="0.2">
      <c r="B33" s="365"/>
      <c r="C33" s="369" t="s">
        <v>267</v>
      </c>
      <c r="D33" s="370">
        <f>D19</f>
        <v>310000</v>
      </c>
      <c r="E33" s="367"/>
      <c r="F33" s="367"/>
      <c r="G33" s="367"/>
      <c r="H33" s="367"/>
      <c r="I33" s="368"/>
      <c r="J33" s="364"/>
    </row>
    <row r="34" spans="2:10" ht="15.75" customHeight="1" x14ac:dyDescent="0.2">
      <c r="B34" s="365"/>
      <c r="C34" s="369" t="s">
        <v>76</v>
      </c>
      <c r="D34" s="371">
        <f>D19*-D21</f>
        <v>-71300</v>
      </c>
      <c r="E34" s="367"/>
      <c r="F34" s="367"/>
      <c r="G34" s="367"/>
      <c r="H34" s="367"/>
      <c r="I34" s="368"/>
      <c r="J34" s="364"/>
    </row>
    <row r="35" spans="2:10" ht="15.75" customHeight="1" x14ac:dyDescent="0.2">
      <c r="B35" s="365"/>
      <c r="C35" s="369" t="s">
        <v>192</v>
      </c>
      <c r="D35" s="370">
        <f>D33+D34</f>
        <v>238700</v>
      </c>
      <c r="E35" s="367"/>
      <c r="F35" s="367"/>
      <c r="G35" s="367"/>
      <c r="H35" s="367"/>
      <c r="I35" s="368"/>
      <c r="J35" s="364"/>
    </row>
    <row r="36" spans="2:10" ht="15.75" customHeight="1" x14ac:dyDescent="0.2">
      <c r="B36" s="365"/>
      <c r="C36" s="367"/>
      <c r="D36" s="367"/>
      <c r="E36" s="367"/>
      <c r="F36" s="367"/>
      <c r="G36" s="367"/>
      <c r="H36" s="367"/>
      <c r="I36" s="368"/>
      <c r="J36" s="364"/>
    </row>
    <row r="37" spans="2:10" ht="15.75" customHeight="1" x14ac:dyDescent="0.2">
      <c r="B37" s="365"/>
      <c r="C37" s="366"/>
      <c r="D37" s="372" t="s">
        <v>175</v>
      </c>
      <c r="E37" s="372" t="s">
        <v>176</v>
      </c>
      <c r="F37" s="372" t="s">
        <v>177</v>
      </c>
      <c r="G37" s="372" t="s">
        <v>178</v>
      </c>
      <c r="H37" s="372" t="s">
        <v>179</v>
      </c>
      <c r="I37" s="368"/>
      <c r="J37" s="364"/>
    </row>
    <row r="38" spans="2:10" ht="15.75" customHeight="1" x14ac:dyDescent="0.2">
      <c r="B38" s="365"/>
      <c r="C38" s="369" t="s">
        <v>242</v>
      </c>
      <c r="D38" s="369"/>
      <c r="E38" s="370">
        <f>D11*D15</f>
        <v>2165500</v>
      </c>
      <c r="F38" s="370">
        <f>D12*D15</f>
        <v>2409500</v>
      </c>
      <c r="G38" s="370">
        <f>D13*D15</f>
        <v>2806000</v>
      </c>
      <c r="H38" s="370">
        <f>D14*D15</f>
        <v>1860500</v>
      </c>
      <c r="I38" s="368"/>
      <c r="J38" s="364"/>
    </row>
    <row r="39" spans="2:10" ht="15.75" customHeight="1" x14ac:dyDescent="0.2">
      <c r="B39" s="365"/>
      <c r="C39" s="369" t="s">
        <v>78</v>
      </c>
      <c r="D39" s="369"/>
      <c r="E39" s="373">
        <f>D16</f>
        <v>375000</v>
      </c>
      <c r="F39" s="373">
        <f>D16</f>
        <v>375000</v>
      </c>
      <c r="G39" s="373">
        <f>D16</f>
        <v>375000</v>
      </c>
      <c r="H39" s="373">
        <f>D16</f>
        <v>375000</v>
      </c>
      <c r="I39" s="368"/>
      <c r="J39" s="364"/>
    </row>
    <row r="40" spans="2:10" ht="15.75" customHeight="1" x14ac:dyDescent="0.2">
      <c r="B40" s="365"/>
      <c r="C40" s="369" t="s">
        <v>77</v>
      </c>
      <c r="D40" s="369"/>
      <c r="E40" s="373">
        <f>E38*D17</f>
        <v>324825</v>
      </c>
      <c r="F40" s="373">
        <f>F38*D17</f>
        <v>361425</v>
      </c>
      <c r="G40" s="373">
        <f>G38*D17</f>
        <v>420900</v>
      </c>
      <c r="H40" s="373">
        <f>H38*D17</f>
        <v>279075</v>
      </c>
      <c r="I40" s="368"/>
      <c r="J40" s="364"/>
    </row>
    <row r="41" spans="2:10" ht="15.75" customHeight="1" x14ac:dyDescent="0.2">
      <c r="B41" s="365"/>
      <c r="C41" s="369" t="s">
        <v>5</v>
      </c>
      <c r="D41" s="369"/>
      <c r="E41" s="371">
        <f>D18*D23</f>
        <v>1133220</v>
      </c>
      <c r="F41" s="371">
        <f>D18*D24</f>
        <v>1511300</v>
      </c>
      <c r="G41" s="371">
        <f>D18*D25</f>
        <v>503540.00000000006</v>
      </c>
      <c r="H41" s="371">
        <f>D18*D26</f>
        <v>251940</v>
      </c>
      <c r="I41" s="368"/>
      <c r="J41" s="364"/>
    </row>
    <row r="42" spans="2:10" ht="15.75" customHeight="1" x14ac:dyDescent="0.2">
      <c r="B42" s="365"/>
      <c r="C42" s="367" t="s">
        <v>8</v>
      </c>
      <c r="D42" s="367"/>
      <c r="E42" s="370">
        <f>E38-E39-E40-E41</f>
        <v>332455</v>
      </c>
      <c r="F42" s="370">
        <f>F38-F39-F40-F41</f>
        <v>161775</v>
      </c>
      <c r="G42" s="370">
        <f>G38-G39-G40-G41</f>
        <v>1506560</v>
      </c>
      <c r="H42" s="370">
        <f>H38-H39-H40-H41</f>
        <v>954485</v>
      </c>
      <c r="I42" s="368"/>
      <c r="J42" s="364"/>
    </row>
    <row r="43" spans="2:10" ht="15.75" customHeight="1" x14ac:dyDescent="0.2">
      <c r="B43" s="365"/>
      <c r="C43" s="369" t="s">
        <v>76</v>
      </c>
      <c r="D43" s="369"/>
      <c r="E43" s="373">
        <f>E42*$D$21</f>
        <v>76464.650000000009</v>
      </c>
      <c r="F43" s="373">
        <f>F42*$D$21</f>
        <v>37208.25</v>
      </c>
      <c r="G43" s="373">
        <f>G42*$D$21</f>
        <v>346508.79999999999</v>
      </c>
      <c r="H43" s="373">
        <f>H42*$D$21</f>
        <v>219531.55000000002</v>
      </c>
      <c r="I43" s="368"/>
      <c r="J43" s="364"/>
    </row>
    <row r="44" spans="2:10" ht="15.75" customHeight="1" thickBot="1" x14ac:dyDescent="0.25">
      <c r="B44" s="365"/>
      <c r="C44" s="369" t="s">
        <v>110</v>
      </c>
      <c r="D44" s="369"/>
      <c r="E44" s="374">
        <f>E42-E43</f>
        <v>255990.34999999998</v>
      </c>
      <c r="F44" s="374">
        <f>F42-F43</f>
        <v>124566.75</v>
      </c>
      <c r="G44" s="374">
        <f>G42-G43</f>
        <v>1160051.2</v>
      </c>
      <c r="H44" s="374">
        <f>H42-H43</f>
        <v>734953.45</v>
      </c>
      <c r="I44" s="368"/>
      <c r="J44" s="364"/>
    </row>
    <row r="45" spans="2:10" ht="15.75" customHeight="1" thickTop="1" x14ac:dyDescent="0.2">
      <c r="B45" s="365"/>
      <c r="C45" s="369" t="s">
        <v>11</v>
      </c>
      <c r="D45" s="369"/>
      <c r="E45" s="370">
        <f>E44+E41</f>
        <v>1389210.35</v>
      </c>
      <c r="F45" s="370">
        <f>F44+F41</f>
        <v>1635866.75</v>
      </c>
      <c r="G45" s="370">
        <f>G44+G41</f>
        <v>1663591.2</v>
      </c>
      <c r="H45" s="370">
        <f>H44+H41</f>
        <v>986893.45</v>
      </c>
      <c r="I45" s="368"/>
      <c r="J45" s="364"/>
    </row>
    <row r="46" spans="2:10" ht="15.75" customHeight="1" x14ac:dyDescent="0.2">
      <c r="B46" s="365"/>
      <c r="C46" s="369"/>
      <c r="D46" s="369"/>
      <c r="E46" s="369"/>
      <c r="F46" s="369"/>
      <c r="G46" s="369"/>
      <c r="H46" s="369"/>
      <c r="I46" s="368"/>
      <c r="J46" s="364"/>
    </row>
    <row r="47" spans="2:10" ht="15.75" customHeight="1" x14ac:dyDescent="0.2">
      <c r="B47" s="365"/>
      <c r="C47" s="369" t="s">
        <v>114</v>
      </c>
      <c r="D47" s="370">
        <f>-D18</f>
        <v>-3400000</v>
      </c>
      <c r="E47" s="369"/>
      <c r="F47" s="369"/>
      <c r="G47" s="369"/>
      <c r="H47" s="373">
        <f>D35</f>
        <v>238700</v>
      </c>
      <c r="I47" s="368"/>
      <c r="J47" s="364"/>
    </row>
    <row r="48" spans="2:10" ht="15.75" customHeight="1" x14ac:dyDescent="0.2">
      <c r="B48" s="365"/>
      <c r="C48" s="369" t="s">
        <v>394</v>
      </c>
      <c r="D48" s="373">
        <f>-D8</f>
        <v>-900000</v>
      </c>
      <c r="E48" s="375"/>
      <c r="F48" s="375"/>
      <c r="G48" s="375"/>
      <c r="H48" s="373">
        <f>D9</f>
        <v>1200000</v>
      </c>
      <c r="I48" s="368"/>
      <c r="J48" s="364"/>
    </row>
    <row r="49" spans="2:10" ht="15.75" customHeight="1" x14ac:dyDescent="0.2">
      <c r="B49" s="365"/>
      <c r="C49" s="369" t="s">
        <v>87</v>
      </c>
      <c r="D49" s="371">
        <f>-D20</f>
        <v>-225000</v>
      </c>
      <c r="E49" s="376"/>
      <c r="F49" s="376"/>
      <c r="G49" s="376"/>
      <c r="H49" s="371">
        <f>D20</f>
        <v>225000</v>
      </c>
      <c r="I49" s="368"/>
      <c r="J49" s="364"/>
    </row>
    <row r="50" spans="2:10" ht="15.75" customHeight="1" x14ac:dyDescent="0.2">
      <c r="B50" s="365"/>
      <c r="C50" s="369"/>
      <c r="D50" s="369"/>
      <c r="E50" s="369"/>
      <c r="F50" s="369"/>
      <c r="G50" s="369"/>
      <c r="H50" s="369"/>
      <c r="I50" s="368"/>
      <c r="J50" s="364"/>
    </row>
    <row r="51" spans="2:10" ht="15.75" customHeight="1" x14ac:dyDescent="0.2">
      <c r="B51" s="365"/>
      <c r="C51" s="369" t="s">
        <v>115</v>
      </c>
      <c r="D51" s="377">
        <f>D47+D48+D49+D45</f>
        <v>-4525000</v>
      </c>
      <c r="E51" s="377">
        <f>E47+E49+E45</f>
        <v>1389210.35</v>
      </c>
      <c r="F51" s="377">
        <f>F47+F49+F45</f>
        <v>1635866.75</v>
      </c>
      <c r="G51" s="377">
        <f>G47+G49+G45</f>
        <v>1663591.2</v>
      </c>
      <c r="H51" s="377">
        <f>H47+H48+H49+H45</f>
        <v>2650593.4500000002</v>
      </c>
      <c r="I51" s="368"/>
      <c r="J51" s="364"/>
    </row>
    <row r="52" spans="2:10" ht="15.75" customHeight="1" x14ac:dyDescent="0.2">
      <c r="B52" s="365"/>
      <c r="C52" s="367"/>
      <c r="D52" s="367"/>
      <c r="E52" s="367"/>
      <c r="F52" s="367"/>
      <c r="G52" s="367"/>
      <c r="H52" s="367"/>
      <c r="I52" s="368"/>
      <c r="J52" s="364"/>
    </row>
    <row r="53" spans="2:10" ht="15.75" customHeight="1" x14ac:dyDescent="0.25">
      <c r="B53" s="365"/>
      <c r="C53" s="369" t="s">
        <v>20</v>
      </c>
      <c r="D53" s="378">
        <f>NPV(D22,E51:H51)+D51</f>
        <v>764124.06344249472</v>
      </c>
      <c r="E53" s="366"/>
      <c r="F53" s="366"/>
      <c r="G53" s="366"/>
      <c r="H53" s="366"/>
      <c r="I53" s="368"/>
      <c r="J53" s="364"/>
    </row>
    <row r="54" spans="2:10" ht="15.75" customHeight="1" thickBot="1" x14ac:dyDescent="0.25">
      <c r="B54" s="379"/>
      <c r="C54" s="380"/>
      <c r="D54" s="380"/>
      <c r="E54" s="380"/>
      <c r="F54" s="380"/>
      <c r="G54" s="380"/>
      <c r="H54" s="380"/>
      <c r="I54" s="381"/>
      <c r="J54" s="364"/>
    </row>
    <row r="55" spans="2:10" ht="15.75" customHeight="1" x14ac:dyDescent="0.2">
      <c r="B55" s="382"/>
      <c r="C55" s="382"/>
      <c r="D55" s="382"/>
      <c r="E55" s="382"/>
      <c r="F55" s="382"/>
      <c r="G55" s="382"/>
      <c r="H55" s="382"/>
    </row>
    <row r="56" spans="2:10" ht="15.75" customHeight="1" x14ac:dyDescent="0.2"/>
    <row r="57" spans="2:10" ht="15.75" customHeight="1" x14ac:dyDescent="0.2">
      <c r="D57" s="383"/>
    </row>
    <row r="58" spans="2:10" ht="15.75" customHeight="1" x14ac:dyDescent="0.2"/>
    <row r="59" spans="2:10" ht="15.75" customHeight="1" x14ac:dyDescent="0.2"/>
    <row r="60" spans="2:10" ht="15.75" customHeight="1" x14ac:dyDescent="0.2"/>
    <row r="61" spans="2:10" ht="15.75" customHeight="1" x14ac:dyDescent="0.2"/>
    <row r="62" spans="2:10" ht="15.75" customHeight="1" x14ac:dyDescent="0.2"/>
    <row r="63" spans="2:10" ht="15.75" customHeight="1" x14ac:dyDescent="0.2"/>
    <row r="64" spans="2:10" ht="15.75" customHeight="1" x14ac:dyDescent="0.2"/>
    <row r="65" ht="15.75" customHeight="1" x14ac:dyDescent="0.2"/>
  </sheetData>
  <pageMargins left="0.75" right="0.75" top="1" bottom="1" header="0.5" footer="0.5"/>
  <pageSetup scale="71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8" width="15.140625" customWidth="1"/>
    <col min="9" max="9" width="3.140625" customWidth="1"/>
    <col min="12" max="12" width="9.140625" customWidth="1"/>
  </cols>
  <sheetData>
    <row r="1" spans="2:11" ht="18" customHeight="1" x14ac:dyDescent="0.25">
      <c r="C1" s="1" t="s">
        <v>412</v>
      </c>
      <c r="D1" s="1"/>
      <c r="E1" s="1"/>
      <c r="F1" s="1"/>
      <c r="G1" s="1"/>
    </row>
    <row r="2" spans="2:11" ht="15.75" customHeight="1" x14ac:dyDescent="0.2">
      <c r="C2" s="3" t="s">
        <v>3</v>
      </c>
      <c r="D2" s="3"/>
      <c r="E2" s="3"/>
      <c r="F2" s="3"/>
      <c r="G2" s="3"/>
    </row>
    <row r="3" spans="2:11" ht="15.75" customHeight="1" x14ac:dyDescent="0.2"/>
    <row r="4" spans="2:11" ht="15.75" customHeight="1" x14ac:dyDescent="0.2">
      <c r="C4" s="2" t="s">
        <v>1</v>
      </c>
      <c r="D4" s="2"/>
      <c r="E4" s="2"/>
      <c r="F4" s="2"/>
      <c r="G4" s="2"/>
    </row>
    <row r="5" spans="2:11" ht="15.75" customHeight="1" thickBot="1" x14ac:dyDescent="0.25"/>
    <row r="6" spans="2:11" ht="15.75" customHeight="1" x14ac:dyDescent="0.2">
      <c r="B6" s="5"/>
      <c r="C6" s="6"/>
      <c r="D6" s="6"/>
      <c r="E6" s="6"/>
      <c r="F6" s="6"/>
      <c r="G6" s="6"/>
      <c r="H6" s="6"/>
      <c r="I6" s="7"/>
    </row>
    <row r="7" spans="2:11" ht="15.75" customHeight="1" x14ac:dyDescent="0.2">
      <c r="B7" s="8"/>
      <c r="C7" s="13"/>
      <c r="D7" s="226" t="s">
        <v>175</v>
      </c>
      <c r="E7" s="226" t="s">
        <v>176</v>
      </c>
      <c r="F7" s="226" t="s">
        <v>177</v>
      </c>
      <c r="G7" s="226" t="s">
        <v>178</v>
      </c>
      <c r="H7" s="227" t="s">
        <v>179</v>
      </c>
      <c r="I7" s="9"/>
      <c r="K7" s="57"/>
    </row>
    <row r="8" spans="2:11" ht="15.75" customHeight="1" x14ac:dyDescent="0.2">
      <c r="B8" s="8"/>
      <c r="C8" s="13" t="s">
        <v>180</v>
      </c>
      <c r="D8" s="83">
        <v>26300</v>
      </c>
      <c r="E8" s="89">
        <v>0</v>
      </c>
      <c r="F8" s="89">
        <v>0</v>
      </c>
      <c r="G8" s="89">
        <v>0</v>
      </c>
      <c r="H8" s="89"/>
      <c r="I8" s="9"/>
      <c r="K8" s="57"/>
    </row>
    <row r="9" spans="2:11" ht="15.75" customHeight="1" x14ac:dyDescent="0.2">
      <c r="B9" s="8"/>
      <c r="C9" s="13" t="s">
        <v>181</v>
      </c>
      <c r="D9" s="229"/>
      <c r="E9" s="83">
        <v>13400</v>
      </c>
      <c r="F9" s="83">
        <v>15000</v>
      </c>
      <c r="G9" s="83">
        <v>16400</v>
      </c>
      <c r="H9" s="83">
        <v>12900</v>
      </c>
      <c r="I9" s="9"/>
      <c r="K9" s="57"/>
    </row>
    <row r="10" spans="2:11" ht="15.75" customHeight="1" x14ac:dyDescent="0.2">
      <c r="B10" s="8"/>
      <c r="C10" s="13" t="s">
        <v>182</v>
      </c>
      <c r="D10" s="229"/>
      <c r="E10" s="89">
        <v>2900</v>
      </c>
      <c r="F10" s="89">
        <v>3100</v>
      </c>
      <c r="G10" s="89">
        <v>4200</v>
      </c>
      <c r="H10" s="89">
        <v>2800</v>
      </c>
      <c r="I10" s="9"/>
    </row>
    <row r="11" spans="2:11" ht="15.75" customHeight="1" x14ac:dyDescent="0.2">
      <c r="B11" s="8"/>
      <c r="C11" s="13" t="s">
        <v>5</v>
      </c>
      <c r="D11" s="229"/>
      <c r="E11" s="343">
        <f>$D$8/4</f>
        <v>6575</v>
      </c>
      <c r="F11" s="343">
        <f t="shared" ref="F11:H11" si="0">$D$8/4</f>
        <v>6575</v>
      </c>
      <c r="G11" s="343">
        <f t="shared" si="0"/>
        <v>6575</v>
      </c>
      <c r="H11" s="343">
        <f t="shared" si="0"/>
        <v>6575</v>
      </c>
      <c r="I11" s="9"/>
    </row>
    <row r="12" spans="2:11" ht="15.75" customHeight="1" x14ac:dyDescent="0.2">
      <c r="B12" s="8"/>
      <c r="C12" s="13" t="s">
        <v>87</v>
      </c>
      <c r="D12" s="89">
        <v>300</v>
      </c>
      <c r="E12" s="89">
        <v>200</v>
      </c>
      <c r="F12" s="89">
        <v>225</v>
      </c>
      <c r="G12" s="89">
        <v>150</v>
      </c>
      <c r="H12" s="228" t="s">
        <v>183</v>
      </c>
      <c r="I12" s="9"/>
    </row>
    <row r="13" spans="2:11" ht="15.75" customHeight="1" x14ac:dyDescent="0.2">
      <c r="B13" s="8"/>
      <c r="C13" s="13"/>
      <c r="D13" s="13"/>
      <c r="E13" s="13"/>
      <c r="F13" s="13"/>
      <c r="G13" s="13"/>
      <c r="H13" s="83"/>
      <c r="I13" s="9"/>
    </row>
    <row r="14" spans="2:11" ht="15.75" customHeight="1" x14ac:dyDescent="0.2">
      <c r="B14" s="8"/>
      <c r="C14" s="13" t="s">
        <v>6</v>
      </c>
      <c r="D14" s="82">
        <v>0.22</v>
      </c>
      <c r="E14" s="13"/>
      <c r="F14" s="13"/>
      <c r="G14" s="13"/>
      <c r="H14" s="82"/>
      <c r="I14" s="9"/>
    </row>
    <row r="15" spans="2:11" ht="15.75" customHeight="1" x14ac:dyDescent="0.2">
      <c r="B15" s="8"/>
      <c r="C15" s="13" t="s">
        <v>31</v>
      </c>
      <c r="D15" s="82">
        <v>0.12</v>
      </c>
      <c r="E15" s="13"/>
      <c r="F15" s="13"/>
      <c r="G15" s="13"/>
      <c r="H15" s="82"/>
      <c r="I15" s="9"/>
    </row>
    <row r="16" spans="2:11" ht="15.75" customHeight="1" thickBot="1" x14ac:dyDescent="0.25">
      <c r="B16" s="10"/>
      <c r="C16" s="11"/>
      <c r="D16" s="11"/>
      <c r="E16" s="11"/>
      <c r="F16" s="11"/>
      <c r="G16" s="11"/>
      <c r="H16" s="11"/>
      <c r="I16" s="12"/>
    </row>
    <row r="17" spans="2:12" ht="15.75" customHeight="1" x14ac:dyDescent="0.2"/>
    <row r="18" spans="2:12" ht="15.75" customHeight="1" x14ac:dyDescent="0.2">
      <c r="C18" s="2" t="s">
        <v>2</v>
      </c>
      <c r="D18" s="2"/>
      <c r="E18" s="2"/>
      <c r="F18" s="2"/>
      <c r="G18" s="2"/>
    </row>
    <row r="19" spans="2:12" ht="15.75" customHeight="1" thickBot="1" x14ac:dyDescent="0.25"/>
    <row r="20" spans="2:12" ht="15.75" customHeight="1" x14ac:dyDescent="0.2">
      <c r="B20" s="15"/>
      <c r="C20" s="16"/>
      <c r="D20" s="16"/>
      <c r="E20" s="16"/>
      <c r="F20" s="16"/>
      <c r="G20" s="16"/>
      <c r="H20" s="16"/>
      <c r="I20" s="17"/>
      <c r="J20" s="30"/>
      <c r="K20" s="30"/>
      <c r="L20" s="30"/>
    </row>
    <row r="21" spans="2:12" ht="15.75" customHeight="1" x14ac:dyDescent="0.2">
      <c r="B21" s="18"/>
      <c r="C21" s="19" t="s">
        <v>10</v>
      </c>
      <c r="D21" s="19"/>
      <c r="E21" s="78">
        <f t="shared" ref="E21:H23" si="1">E9</f>
        <v>13400</v>
      </c>
      <c r="F21" s="78">
        <f t="shared" si="1"/>
        <v>15000</v>
      </c>
      <c r="G21" s="78">
        <f t="shared" si="1"/>
        <v>16400</v>
      </c>
      <c r="H21" s="78">
        <f t="shared" si="1"/>
        <v>12900</v>
      </c>
      <c r="I21" s="21"/>
      <c r="J21" s="30"/>
      <c r="K21" s="30"/>
      <c r="L21" s="30"/>
    </row>
    <row r="22" spans="2:12" ht="15.75" customHeight="1" x14ac:dyDescent="0.2">
      <c r="B22" s="18"/>
      <c r="C22" s="19" t="s">
        <v>14</v>
      </c>
      <c r="D22" s="19"/>
      <c r="E22" s="79">
        <f t="shared" si="1"/>
        <v>2900</v>
      </c>
      <c r="F22" s="79">
        <f t="shared" si="1"/>
        <v>3100</v>
      </c>
      <c r="G22" s="79">
        <f t="shared" si="1"/>
        <v>4200</v>
      </c>
      <c r="H22" s="79">
        <f t="shared" si="1"/>
        <v>2800</v>
      </c>
      <c r="I22" s="22"/>
      <c r="J22" s="30"/>
      <c r="K22" s="30"/>
      <c r="L22" s="31"/>
    </row>
    <row r="23" spans="2:12" ht="15.75" customHeight="1" x14ac:dyDescent="0.2">
      <c r="B23" s="18"/>
      <c r="C23" s="19" t="s">
        <v>5</v>
      </c>
      <c r="D23" s="19"/>
      <c r="E23" s="81">
        <f t="shared" si="1"/>
        <v>6575</v>
      </c>
      <c r="F23" s="81">
        <f t="shared" si="1"/>
        <v>6575</v>
      </c>
      <c r="G23" s="81">
        <f t="shared" si="1"/>
        <v>6575</v>
      </c>
      <c r="H23" s="81">
        <f t="shared" si="1"/>
        <v>6575</v>
      </c>
      <c r="I23" s="21"/>
      <c r="J23" s="30"/>
      <c r="K23" s="30"/>
      <c r="L23" s="30"/>
    </row>
    <row r="24" spans="2:12" ht="15.75" customHeight="1" x14ac:dyDescent="0.2">
      <c r="B24" s="18"/>
      <c r="C24" s="19" t="s">
        <v>8</v>
      </c>
      <c r="D24" s="19"/>
      <c r="E24" s="78">
        <f>E21-E22-E23</f>
        <v>3925</v>
      </c>
      <c r="F24" s="78">
        <f>F21-F22-F23</f>
        <v>5325</v>
      </c>
      <c r="G24" s="78">
        <f>G21-G22-G23</f>
        <v>5625</v>
      </c>
      <c r="H24" s="78">
        <f>H21-H22-H23</f>
        <v>3525</v>
      </c>
      <c r="I24" s="21"/>
      <c r="J24" s="30"/>
      <c r="K24" s="30"/>
      <c r="L24" s="30"/>
    </row>
    <row r="25" spans="2:12" ht="15.75" customHeight="1" x14ac:dyDescent="0.2">
      <c r="B25" s="18"/>
      <c r="C25" s="224" t="s">
        <v>150</v>
      </c>
      <c r="D25" s="224"/>
      <c r="E25" s="230">
        <f>E24*$D$14</f>
        <v>863.5</v>
      </c>
      <c r="F25" s="230">
        <f>F24*$D$14</f>
        <v>1171.5</v>
      </c>
      <c r="G25" s="230">
        <f>G24*$D$14</f>
        <v>1237.5</v>
      </c>
      <c r="H25" s="230">
        <f>H24*$D$14</f>
        <v>775.5</v>
      </c>
      <c r="I25" s="21"/>
      <c r="J25" s="30"/>
      <c r="K25" s="30"/>
      <c r="L25" s="30"/>
    </row>
    <row r="26" spans="2:12" ht="15.75" customHeight="1" thickBot="1" x14ac:dyDescent="0.3">
      <c r="B26" s="18"/>
      <c r="C26" s="19" t="s">
        <v>110</v>
      </c>
      <c r="D26" s="19"/>
      <c r="E26" s="417">
        <f>E24-E25</f>
        <v>3061.5</v>
      </c>
      <c r="F26" s="417">
        <f>F24-F25</f>
        <v>4153.5</v>
      </c>
      <c r="G26" s="417">
        <f>G24-G25</f>
        <v>4387.5</v>
      </c>
      <c r="H26" s="417">
        <f>H24-H25</f>
        <v>2749.5</v>
      </c>
      <c r="I26" s="21"/>
      <c r="J26" s="30"/>
      <c r="K26" s="30"/>
      <c r="L26" s="30"/>
    </row>
    <row r="27" spans="2:12" ht="15.75" customHeight="1" thickTop="1" x14ac:dyDescent="0.2">
      <c r="B27" s="18"/>
      <c r="C27" s="19"/>
      <c r="D27" s="19"/>
      <c r="E27" s="19"/>
      <c r="F27" s="19"/>
      <c r="G27" s="19"/>
      <c r="H27" s="95"/>
      <c r="I27" s="21"/>
      <c r="J27" s="30"/>
      <c r="K27" s="30"/>
      <c r="L27" s="30"/>
    </row>
    <row r="28" spans="2:12" ht="15.75" customHeight="1" x14ac:dyDescent="0.2">
      <c r="B28" s="18"/>
      <c r="C28" s="19" t="s">
        <v>11</v>
      </c>
      <c r="D28" s="231">
        <v>0</v>
      </c>
      <c r="E28" s="78">
        <f>E26+E23</f>
        <v>9636.5</v>
      </c>
      <c r="F28" s="78">
        <f>F26+F23</f>
        <v>10728.5</v>
      </c>
      <c r="G28" s="78">
        <f>G26+G23</f>
        <v>10962.5</v>
      </c>
      <c r="H28" s="78">
        <f>H26+H23</f>
        <v>9324.5</v>
      </c>
      <c r="I28" s="21"/>
      <c r="J28" s="30"/>
      <c r="K28" s="30"/>
      <c r="L28" s="30"/>
    </row>
    <row r="29" spans="2:12" ht="15.75" customHeight="1" x14ac:dyDescent="0.2">
      <c r="B29" s="18"/>
      <c r="C29" s="19" t="s">
        <v>114</v>
      </c>
      <c r="D29" s="78">
        <f>-D8</f>
        <v>-26300</v>
      </c>
      <c r="E29" s="79">
        <v>0</v>
      </c>
      <c r="F29" s="79">
        <v>0</v>
      </c>
      <c r="G29" s="79">
        <v>0</v>
      </c>
      <c r="H29" s="79">
        <v>0</v>
      </c>
      <c r="I29" s="21"/>
      <c r="J29" s="30"/>
      <c r="K29" s="30"/>
      <c r="L29" s="30"/>
    </row>
    <row r="30" spans="2:12" ht="15.75" customHeight="1" x14ac:dyDescent="0.2">
      <c r="B30" s="18"/>
      <c r="C30" s="19" t="s">
        <v>184</v>
      </c>
      <c r="D30" s="81">
        <f>-D12</f>
        <v>-300</v>
      </c>
      <c r="E30" s="81">
        <f>-E12</f>
        <v>-200</v>
      </c>
      <c r="F30" s="81">
        <f>-F12</f>
        <v>-225</v>
      </c>
      <c r="G30" s="81">
        <f>-G12</f>
        <v>-150</v>
      </c>
      <c r="H30" s="81">
        <f>-(D30+E30+F30+G30)</f>
        <v>875</v>
      </c>
      <c r="I30" s="21"/>
      <c r="J30" s="30"/>
      <c r="K30" s="30"/>
      <c r="L30" s="30"/>
    </row>
    <row r="31" spans="2:12" ht="15.75" customHeight="1" x14ac:dyDescent="0.25">
      <c r="B31" s="18"/>
      <c r="C31" s="19" t="s">
        <v>185</v>
      </c>
      <c r="D31" s="418">
        <f>D28+D29+D30</f>
        <v>-26600</v>
      </c>
      <c r="E31" s="418">
        <f>E28+E29+E30</f>
        <v>9436.5</v>
      </c>
      <c r="F31" s="418">
        <f>F28+F29+F30</f>
        <v>10503.5</v>
      </c>
      <c r="G31" s="418">
        <f>G28+G29+G30</f>
        <v>10812.5</v>
      </c>
      <c r="H31" s="418">
        <f>H28+H29+H30</f>
        <v>10199.5</v>
      </c>
      <c r="I31" s="21"/>
      <c r="J31" s="30"/>
      <c r="K31" s="30"/>
      <c r="L31" s="30"/>
    </row>
    <row r="32" spans="2:12" ht="15.75" customHeight="1" x14ac:dyDescent="0.2">
      <c r="B32" s="18"/>
      <c r="C32" s="19"/>
      <c r="D32" s="19"/>
      <c r="E32" s="77"/>
      <c r="F32" s="77"/>
      <c r="G32" s="77"/>
      <c r="H32" s="77"/>
      <c r="I32" s="21"/>
      <c r="J32" s="30"/>
      <c r="K32" s="30"/>
      <c r="L32" s="30"/>
    </row>
    <row r="33" spans="2:12" ht="15.75" customHeight="1" x14ac:dyDescent="0.25">
      <c r="B33" s="18"/>
      <c r="C33" s="19" t="s">
        <v>20</v>
      </c>
      <c r="D33" s="170">
        <f>D31+NPV(D15,E31:H31)</f>
        <v>4376.8628916011512</v>
      </c>
      <c r="E33" s="19"/>
      <c r="F33" s="19"/>
      <c r="G33" s="19"/>
      <c r="H33" s="232"/>
      <c r="I33" s="21"/>
      <c r="J33" s="30"/>
      <c r="K33" s="30"/>
      <c r="L33" s="30"/>
    </row>
    <row r="34" spans="2:12" ht="15.75" customHeight="1" thickBot="1" x14ac:dyDescent="0.25">
      <c r="B34" s="23"/>
      <c r="C34" s="53"/>
      <c r="D34" s="53"/>
      <c r="E34" s="53"/>
      <c r="F34" s="53"/>
      <c r="G34" s="53"/>
      <c r="H34" s="53"/>
      <c r="I34" s="25"/>
      <c r="J34" s="30"/>
      <c r="K34" s="30"/>
      <c r="L34" s="30"/>
    </row>
    <row r="35" spans="2:12" ht="15.7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 ht="15.75" customHeight="1" x14ac:dyDescent="0.2"/>
    <row r="37" spans="2:12" ht="15.75" customHeight="1" x14ac:dyDescent="0.2">
      <c r="H37" s="26"/>
    </row>
    <row r="38" spans="2:12" ht="15.75" customHeight="1" x14ac:dyDescent="0.2"/>
    <row r="39" spans="2:12" ht="15.75" customHeight="1" x14ac:dyDescent="0.2"/>
    <row r="40" spans="2:12" ht="15.75" customHeight="1" x14ac:dyDescent="0.2"/>
    <row r="41" spans="2:12" ht="15.75" customHeight="1" x14ac:dyDescent="0.2"/>
  </sheetData>
  <phoneticPr fontId="0" type="noConversion"/>
  <pageMargins left="0.75" right="0.75" top="1" bottom="1" header="0.5" footer="0.5"/>
  <pageSetup scale="76" orientation="portrait" horizontalDpi="360" verticalDpi="36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topLeftCell="B28" zoomScaleNormal="100" workbookViewId="0">
      <selection activeCell="E34" sqref="E34:H47"/>
    </sheetView>
  </sheetViews>
  <sheetFormatPr defaultRowHeight="12.75" x14ac:dyDescent="0.2"/>
  <cols>
    <col min="1" max="1" width="9.140625" style="345"/>
    <col min="2" max="2" width="3.140625" style="345" customWidth="1"/>
    <col min="3" max="3" width="23.140625" style="345" customWidth="1"/>
    <col min="4" max="4" width="18.28515625" style="345" bestFit="1" customWidth="1"/>
    <col min="5" max="8" width="17.5703125" style="345" bestFit="1" customWidth="1"/>
    <col min="9" max="9" width="3.140625" style="345" customWidth="1"/>
    <col min="10" max="16384" width="9.140625" style="345"/>
  </cols>
  <sheetData>
    <row r="1" spans="2:5" ht="18" x14ac:dyDescent="0.25">
      <c r="C1" s="346" t="s">
        <v>412</v>
      </c>
    </row>
    <row r="2" spans="2:5" ht="15.75" customHeight="1" x14ac:dyDescent="0.2">
      <c r="C2" s="347" t="s">
        <v>157</v>
      </c>
    </row>
    <row r="3" spans="2:5" ht="15.75" customHeight="1" x14ac:dyDescent="0.2"/>
    <row r="4" spans="2:5" ht="15.75" customHeight="1" x14ac:dyDescent="0.2">
      <c r="C4" s="348" t="s">
        <v>1</v>
      </c>
    </row>
    <row r="5" spans="2:5" ht="15.75" customHeight="1" thickBot="1" x14ac:dyDescent="0.25"/>
    <row r="6" spans="2:5" ht="15.75" customHeight="1" x14ac:dyDescent="0.2">
      <c r="B6" s="349"/>
      <c r="C6" s="350"/>
      <c r="D6" s="350"/>
      <c r="E6" s="351"/>
    </row>
    <row r="7" spans="2:5" ht="15.75" customHeight="1" x14ac:dyDescent="0.2">
      <c r="B7" s="352"/>
      <c r="C7" s="353" t="s">
        <v>255</v>
      </c>
      <c r="D7" s="354"/>
      <c r="E7" s="355"/>
    </row>
    <row r="8" spans="2:5" ht="15.75" customHeight="1" x14ac:dyDescent="0.2">
      <c r="B8" s="352"/>
      <c r="C8" s="353" t="s">
        <v>415</v>
      </c>
      <c r="D8" s="384">
        <f>'#28'!D8</f>
        <v>900000</v>
      </c>
      <c r="E8" s="355"/>
    </row>
    <row r="9" spans="2:5" ht="15.75" customHeight="1" x14ac:dyDescent="0.2">
      <c r="B9" s="352"/>
      <c r="C9" s="353" t="s">
        <v>416</v>
      </c>
      <c r="D9" s="384">
        <f>'#28'!D9</f>
        <v>1200000</v>
      </c>
      <c r="E9" s="355"/>
    </row>
    <row r="10" spans="2:5" ht="15.75" customHeight="1" x14ac:dyDescent="0.2">
      <c r="B10" s="352"/>
      <c r="C10" s="353" t="s">
        <v>262</v>
      </c>
      <c r="D10" s="459"/>
      <c r="E10" s="355"/>
    </row>
    <row r="11" spans="2:5" ht="15.75" customHeight="1" x14ac:dyDescent="0.2">
      <c r="B11" s="352"/>
      <c r="C11" s="353" t="s">
        <v>256</v>
      </c>
      <c r="D11" s="459">
        <f>'#28'!D11</f>
        <v>7100</v>
      </c>
      <c r="E11" s="355"/>
    </row>
    <row r="12" spans="2:5" ht="15.75" customHeight="1" x14ac:dyDescent="0.2">
      <c r="B12" s="352"/>
      <c r="C12" s="353" t="s">
        <v>257</v>
      </c>
      <c r="D12" s="459">
        <f>'#28'!D12</f>
        <v>7900</v>
      </c>
      <c r="E12" s="355"/>
    </row>
    <row r="13" spans="2:5" ht="15.75" customHeight="1" x14ac:dyDescent="0.2">
      <c r="B13" s="352"/>
      <c r="C13" s="353" t="s">
        <v>258</v>
      </c>
      <c r="D13" s="459">
        <f>'#28'!D13</f>
        <v>9200</v>
      </c>
      <c r="E13" s="355"/>
    </row>
    <row r="14" spans="2:5" ht="15.75" customHeight="1" x14ac:dyDescent="0.2">
      <c r="B14" s="352"/>
      <c r="C14" s="353" t="s">
        <v>259</v>
      </c>
      <c r="D14" s="459">
        <f>'#28'!D14</f>
        <v>6100</v>
      </c>
      <c r="E14" s="355"/>
    </row>
    <row r="15" spans="2:5" ht="15.75" customHeight="1" x14ac:dyDescent="0.2">
      <c r="B15" s="352"/>
      <c r="C15" s="353" t="s">
        <v>260</v>
      </c>
      <c r="D15" s="384">
        <f>'#28'!D15</f>
        <v>305</v>
      </c>
      <c r="E15" s="355"/>
    </row>
    <row r="16" spans="2:5" ht="15.75" customHeight="1" x14ac:dyDescent="0.2">
      <c r="B16" s="352"/>
      <c r="C16" s="353" t="s">
        <v>78</v>
      </c>
      <c r="D16" s="384">
        <f>'#28'!D16</f>
        <v>375000</v>
      </c>
      <c r="E16" s="355"/>
    </row>
    <row r="17" spans="2:10" ht="15.75" customHeight="1" x14ac:dyDescent="0.2">
      <c r="B17" s="352"/>
      <c r="C17" s="353" t="s">
        <v>77</v>
      </c>
      <c r="D17" s="460">
        <f>'#28'!D17</f>
        <v>0.15</v>
      </c>
      <c r="E17" s="355"/>
    </row>
    <row r="18" spans="2:10" ht="15.75" customHeight="1" x14ac:dyDescent="0.2">
      <c r="B18" s="352"/>
      <c r="C18" s="353" t="s">
        <v>261</v>
      </c>
      <c r="D18" s="384">
        <f>'#28'!D18</f>
        <v>3400000</v>
      </c>
      <c r="E18" s="355"/>
    </row>
    <row r="19" spans="2:10" ht="15.75" customHeight="1" x14ac:dyDescent="0.2">
      <c r="B19" s="352"/>
      <c r="C19" s="353" t="s">
        <v>32</v>
      </c>
      <c r="D19" s="384">
        <f>'#28'!D19</f>
        <v>310000</v>
      </c>
      <c r="E19" s="355"/>
    </row>
    <row r="20" spans="2:10" ht="15.75" customHeight="1" x14ac:dyDescent="0.2">
      <c r="B20" s="352"/>
      <c r="C20" s="353" t="s">
        <v>87</v>
      </c>
      <c r="D20" s="384">
        <f>'#28'!D20</f>
        <v>225000</v>
      </c>
      <c r="E20" s="355"/>
    </row>
    <row r="21" spans="2:10" ht="15.75" customHeight="1" x14ac:dyDescent="0.2">
      <c r="B21" s="352"/>
      <c r="C21" s="353" t="s">
        <v>6</v>
      </c>
      <c r="D21" s="460">
        <f>'#28'!D21</f>
        <v>0.23</v>
      </c>
      <c r="E21" s="355"/>
    </row>
    <row r="22" spans="2:10" ht="15.75" customHeight="1" x14ac:dyDescent="0.2">
      <c r="B22" s="352"/>
      <c r="C22" s="353" t="s">
        <v>19</v>
      </c>
      <c r="D22" s="460">
        <f>'#28'!D22</f>
        <v>0.13</v>
      </c>
      <c r="E22" s="355"/>
    </row>
    <row r="23" spans="2:10" ht="15.75" customHeight="1" thickBot="1" x14ac:dyDescent="0.25">
      <c r="B23" s="357"/>
      <c r="C23" s="358"/>
      <c r="D23" s="359"/>
      <c r="E23" s="360"/>
    </row>
    <row r="24" spans="2:10" ht="15.75" customHeight="1" x14ac:dyDescent="0.2"/>
    <row r="25" spans="2:10" ht="15.75" customHeight="1" x14ac:dyDescent="0.2">
      <c r="C25" s="348" t="s">
        <v>2</v>
      </c>
    </row>
    <row r="26" spans="2:10" ht="15.75" customHeight="1" thickBot="1" x14ac:dyDescent="0.25"/>
    <row r="27" spans="2:10" ht="15.75" customHeight="1" x14ac:dyDescent="0.2">
      <c r="B27" s="361"/>
      <c r="C27" s="362"/>
      <c r="D27" s="362"/>
      <c r="E27" s="362"/>
      <c r="F27" s="362"/>
      <c r="G27" s="362"/>
      <c r="H27" s="362"/>
      <c r="I27" s="363"/>
      <c r="J27" s="364"/>
    </row>
    <row r="28" spans="2:10" ht="15.75" customHeight="1" x14ac:dyDescent="0.2">
      <c r="B28" s="365"/>
      <c r="C28" s="366" t="s">
        <v>27</v>
      </c>
      <c r="D28" s="367"/>
      <c r="E28" s="367"/>
      <c r="F28" s="367"/>
      <c r="G28" s="367"/>
      <c r="H28" s="367"/>
      <c r="I28" s="368"/>
      <c r="J28" s="364"/>
    </row>
    <row r="29" spans="2:10" ht="15.75" customHeight="1" x14ac:dyDescent="0.2">
      <c r="B29" s="365"/>
      <c r="C29" s="369" t="s">
        <v>267</v>
      </c>
      <c r="D29" s="370">
        <f>D19</f>
        <v>310000</v>
      </c>
      <c r="E29" s="367"/>
      <c r="F29" s="367"/>
      <c r="G29" s="367"/>
      <c r="H29" s="367"/>
      <c r="I29" s="368"/>
      <c r="J29" s="364"/>
    </row>
    <row r="30" spans="2:10" ht="15.75" customHeight="1" x14ac:dyDescent="0.2">
      <c r="B30" s="365"/>
      <c r="C30" s="369" t="s">
        <v>76</v>
      </c>
      <c r="D30" s="371">
        <f>D19*-D21</f>
        <v>-71300</v>
      </c>
      <c r="E30" s="367"/>
      <c r="F30" s="367"/>
      <c r="G30" s="367"/>
      <c r="H30" s="367"/>
      <c r="I30" s="368"/>
      <c r="J30" s="364"/>
    </row>
    <row r="31" spans="2:10" ht="15.75" customHeight="1" x14ac:dyDescent="0.2">
      <c r="B31" s="365"/>
      <c r="C31" s="369" t="s">
        <v>192</v>
      </c>
      <c r="D31" s="370">
        <f>D29+D30</f>
        <v>238700</v>
      </c>
      <c r="E31" s="367"/>
      <c r="F31" s="367"/>
      <c r="G31" s="367"/>
      <c r="H31" s="367"/>
      <c r="I31" s="368"/>
      <c r="J31" s="364"/>
    </row>
    <row r="32" spans="2:10" ht="15.75" customHeight="1" x14ac:dyDescent="0.2">
      <c r="B32" s="365"/>
      <c r="C32" s="367"/>
      <c r="D32" s="367"/>
      <c r="E32" s="367"/>
      <c r="F32" s="367"/>
      <c r="G32" s="367"/>
      <c r="H32" s="367"/>
      <c r="I32" s="368"/>
      <c r="J32" s="364"/>
    </row>
    <row r="33" spans="2:10" ht="15.75" customHeight="1" x14ac:dyDescent="0.2">
      <c r="B33" s="365"/>
      <c r="C33" s="366"/>
      <c r="D33" s="372" t="s">
        <v>175</v>
      </c>
      <c r="E33" s="372" t="s">
        <v>176</v>
      </c>
      <c r="F33" s="372" t="s">
        <v>177</v>
      </c>
      <c r="G33" s="372" t="s">
        <v>178</v>
      </c>
      <c r="H33" s="372" t="s">
        <v>179</v>
      </c>
      <c r="I33" s="368"/>
      <c r="J33" s="364"/>
    </row>
    <row r="34" spans="2:10" ht="15.75" customHeight="1" x14ac:dyDescent="0.2">
      <c r="B34" s="365"/>
      <c r="C34" s="369" t="s">
        <v>242</v>
      </c>
      <c r="D34" s="369"/>
      <c r="E34" s="370">
        <f>D11*D15</f>
        <v>2165500</v>
      </c>
      <c r="F34" s="370">
        <f>D12*D15</f>
        <v>2409500</v>
      </c>
      <c r="G34" s="370">
        <f>D13*D15</f>
        <v>2806000</v>
      </c>
      <c r="H34" s="370">
        <f>D14*D15</f>
        <v>1860500</v>
      </c>
      <c r="I34" s="368"/>
      <c r="J34" s="364"/>
    </row>
    <row r="35" spans="2:10" ht="15.75" customHeight="1" x14ac:dyDescent="0.2">
      <c r="B35" s="365"/>
      <c r="C35" s="369" t="s">
        <v>78</v>
      </c>
      <c r="D35" s="369"/>
      <c r="E35" s="373">
        <f>D16</f>
        <v>375000</v>
      </c>
      <c r="F35" s="373">
        <f>D16</f>
        <v>375000</v>
      </c>
      <c r="G35" s="373">
        <f>D16</f>
        <v>375000</v>
      </c>
      <c r="H35" s="373">
        <f>D16</f>
        <v>375000</v>
      </c>
      <c r="I35" s="368"/>
      <c r="J35" s="364"/>
    </row>
    <row r="36" spans="2:10" ht="15.75" customHeight="1" x14ac:dyDescent="0.2">
      <c r="B36" s="365"/>
      <c r="C36" s="369" t="s">
        <v>77</v>
      </c>
      <c r="D36" s="369"/>
      <c r="E36" s="373">
        <f>E34*D17</f>
        <v>324825</v>
      </c>
      <c r="F36" s="373">
        <f>F34*D17</f>
        <v>361425</v>
      </c>
      <c r="G36" s="373">
        <f>G34*D17</f>
        <v>420900</v>
      </c>
      <c r="H36" s="373">
        <f>H34*D17</f>
        <v>279075</v>
      </c>
      <c r="I36" s="368"/>
      <c r="J36" s="364"/>
    </row>
    <row r="37" spans="2:10" ht="15.75" customHeight="1" x14ac:dyDescent="0.2">
      <c r="B37" s="365"/>
      <c r="C37" s="369" t="s">
        <v>5</v>
      </c>
      <c r="D37" s="369"/>
      <c r="E37" s="371">
        <f>D18</f>
        <v>3400000</v>
      </c>
      <c r="F37" s="371">
        <v>0</v>
      </c>
      <c r="G37" s="371">
        <v>0</v>
      </c>
      <c r="H37" s="371">
        <v>0</v>
      </c>
      <c r="I37" s="368"/>
      <c r="J37" s="364"/>
    </row>
    <row r="38" spans="2:10" ht="15.75" customHeight="1" x14ac:dyDescent="0.2">
      <c r="B38" s="365"/>
      <c r="C38" s="367" t="s">
        <v>8</v>
      </c>
      <c r="D38" s="367"/>
      <c r="E38" s="370">
        <f>E34-E35-E36-E37</f>
        <v>-1934325</v>
      </c>
      <c r="F38" s="370">
        <f>F34-F35-F36-F37</f>
        <v>1673075</v>
      </c>
      <c r="G38" s="370">
        <f>G34-G35-G36-G37</f>
        <v>2010100</v>
      </c>
      <c r="H38" s="370">
        <f>H34-H35-H36-H37</f>
        <v>1206425</v>
      </c>
      <c r="I38" s="368"/>
      <c r="J38" s="364"/>
    </row>
    <row r="39" spans="2:10" ht="15.75" customHeight="1" x14ac:dyDescent="0.2">
      <c r="B39" s="365"/>
      <c r="C39" s="369" t="s">
        <v>76</v>
      </c>
      <c r="D39" s="369"/>
      <c r="E39" s="373">
        <f>E38*$D$21</f>
        <v>-444894.75</v>
      </c>
      <c r="F39" s="373">
        <f>F38*$D$21</f>
        <v>384807.25</v>
      </c>
      <c r="G39" s="373">
        <f>G38*$D$21</f>
        <v>462323</v>
      </c>
      <c r="H39" s="373">
        <f>H38*$D$21</f>
        <v>277477.75</v>
      </c>
      <c r="I39" s="368"/>
      <c r="J39" s="364"/>
    </row>
    <row r="40" spans="2:10" ht="15.75" customHeight="1" thickBot="1" x14ac:dyDescent="0.25">
      <c r="B40" s="365"/>
      <c r="C40" s="369" t="s">
        <v>110</v>
      </c>
      <c r="D40" s="369"/>
      <c r="E40" s="374">
        <f>E38-E39</f>
        <v>-1489430.25</v>
      </c>
      <c r="F40" s="374">
        <f>F38-F39</f>
        <v>1288267.75</v>
      </c>
      <c r="G40" s="374">
        <f>G38-G39</f>
        <v>1547777</v>
      </c>
      <c r="H40" s="374">
        <f>H38-H39</f>
        <v>928947.25</v>
      </c>
      <c r="I40" s="368"/>
      <c r="J40" s="364"/>
    </row>
    <row r="41" spans="2:10" ht="15.75" customHeight="1" thickTop="1" x14ac:dyDescent="0.2">
      <c r="B41" s="365"/>
      <c r="C41" s="369" t="s">
        <v>11</v>
      </c>
      <c r="D41" s="369"/>
      <c r="E41" s="370">
        <f>E40+E37</f>
        <v>1910569.75</v>
      </c>
      <c r="F41" s="370">
        <f>F40+F37</f>
        <v>1288267.75</v>
      </c>
      <c r="G41" s="370">
        <f>G40+G37</f>
        <v>1547777</v>
      </c>
      <c r="H41" s="370">
        <f>H40+H37</f>
        <v>928947.25</v>
      </c>
      <c r="I41" s="368"/>
      <c r="J41" s="364"/>
    </row>
    <row r="42" spans="2:10" ht="15.75" customHeight="1" x14ac:dyDescent="0.2">
      <c r="B42" s="365"/>
      <c r="C42" s="369"/>
      <c r="D42" s="369"/>
      <c r="E42" s="369"/>
      <c r="F42" s="369"/>
      <c r="G42" s="369"/>
      <c r="H42" s="369"/>
      <c r="I42" s="368"/>
      <c r="J42" s="364"/>
    </row>
    <row r="43" spans="2:10" ht="15.75" customHeight="1" x14ac:dyDescent="0.2">
      <c r="B43" s="365"/>
      <c r="C43" s="369" t="s">
        <v>114</v>
      </c>
      <c r="D43" s="370">
        <f>-D18</f>
        <v>-3400000</v>
      </c>
      <c r="E43" s="369"/>
      <c r="F43" s="369"/>
      <c r="G43" s="369"/>
      <c r="H43" s="373">
        <f>D31</f>
        <v>238700</v>
      </c>
      <c r="I43" s="368"/>
      <c r="J43" s="364"/>
    </row>
    <row r="44" spans="2:10" ht="15.75" customHeight="1" x14ac:dyDescent="0.2">
      <c r="B44" s="365"/>
      <c r="C44" s="369" t="s">
        <v>394</v>
      </c>
      <c r="D44" s="373">
        <f>-D8</f>
        <v>-900000</v>
      </c>
      <c r="E44" s="375"/>
      <c r="F44" s="375"/>
      <c r="G44" s="375"/>
      <c r="H44" s="373">
        <f>D9</f>
        <v>1200000</v>
      </c>
      <c r="I44" s="368"/>
      <c r="J44" s="364"/>
    </row>
    <row r="45" spans="2:10" ht="15.75" customHeight="1" x14ac:dyDescent="0.2">
      <c r="B45" s="365"/>
      <c r="C45" s="369" t="s">
        <v>87</v>
      </c>
      <c r="D45" s="371">
        <f>-D20</f>
        <v>-225000</v>
      </c>
      <c r="E45" s="376"/>
      <c r="F45" s="376"/>
      <c r="G45" s="376"/>
      <c r="H45" s="371">
        <f>D20</f>
        <v>225000</v>
      </c>
      <c r="I45" s="368"/>
      <c r="J45" s="364"/>
    </row>
    <row r="46" spans="2:10" ht="15.75" customHeight="1" x14ac:dyDescent="0.2">
      <c r="B46" s="365"/>
      <c r="C46" s="369"/>
      <c r="D46" s="369"/>
      <c r="E46" s="369"/>
      <c r="F46" s="369"/>
      <c r="G46" s="369"/>
      <c r="H46" s="369"/>
      <c r="I46" s="368"/>
      <c r="J46" s="364"/>
    </row>
    <row r="47" spans="2:10" ht="15.75" customHeight="1" x14ac:dyDescent="0.2">
      <c r="B47" s="365"/>
      <c r="C47" s="369" t="s">
        <v>115</v>
      </c>
      <c r="D47" s="377">
        <f>D43+D44+D45+D41</f>
        <v>-4525000</v>
      </c>
      <c r="E47" s="377">
        <f>E43+E45+E41</f>
        <v>1910569.75</v>
      </c>
      <c r="F47" s="377">
        <f>F43+F45+F41</f>
        <v>1288267.75</v>
      </c>
      <c r="G47" s="377">
        <f>G43+G45+G41</f>
        <v>1547777</v>
      </c>
      <c r="H47" s="377">
        <f>H43+H44+H45+H41</f>
        <v>2592647.25</v>
      </c>
      <c r="I47" s="368"/>
      <c r="J47" s="364"/>
    </row>
    <row r="48" spans="2:10" ht="15.75" customHeight="1" x14ac:dyDescent="0.2">
      <c r="B48" s="365"/>
      <c r="C48" s="367"/>
      <c r="D48" s="367"/>
      <c r="E48" s="367"/>
      <c r="F48" s="367"/>
      <c r="G48" s="367"/>
      <c r="H48" s="367"/>
      <c r="I48" s="368"/>
      <c r="J48" s="364"/>
    </row>
    <row r="49" spans="2:10" ht="15.75" customHeight="1" x14ac:dyDescent="0.25">
      <c r="B49" s="365"/>
      <c r="C49" s="369" t="s">
        <v>20</v>
      </c>
      <c r="D49" s="378">
        <f>NPV(D22,E47:H47)+D47</f>
        <v>837478.51968652941</v>
      </c>
      <c r="E49" s="366"/>
      <c r="F49" s="366"/>
      <c r="G49" s="366"/>
      <c r="H49" s="366"/>
      <c r="I49" s="368"/>
      <c r="J49" s="364"/>
    </row>
    <row r="50" spans="2:10" ht="15.75" customHeight="1" thickBot="1" x14ac:dyDescent="0.25">
      <c r="B50" s="379"/>
      <c r="C50" s="380"/>
      <c r="D50" s="380"/>
      <c r="E50" s="380"/>
      <c r="F50" s="380"/>
      <c r="G50" s="380"/>
      <c r="H50" s="380"/>
      <c r="I50" s="381"/>
      <c r="J50" s="364"/>
    </row>
    <row r="51" spans="2:10" ht="15.75" customHeight="1" x14ac:dyDescent="0.2">
      <c r="B51" s="382"/>
      <c r="C51" s="382"/>
      <c r="D51" s="382"/>
      <c r="E51" s="382"/>
      <c r="F51" s="382"/>
      <c r="G51" s="382"/>
      <c r="H51" s="382"/>
    </row>
    <row r="52" spans="2:10" ht="15.75" customHeight="1" x14ac:dyDescent="0.2"/>
    <row r="53" spans="2:10" ht="15.75" customHeight="1" x14ac:dyDescent="0.2">
      <c r="D53" s="383"/>
    </row>
    <row r="54" spans="2:10" ht="15.75" customHeight="1" x14ac:dyDescent="0.2"/>
    <row r="55" spans="2:10" ht="15.75" customHeight="1" x14ac:dyDescent="0.2"/>
    <row r="56" spans="2:10" ht="15.75" customHeight="1" x14ac:dyDescent="0.2"/>
    <row r="57" spans="2:10" ht="15.75" customHeight="1" x14ac:dyDescent="0.2"/>
    <row r="58" spans="2:10" ht="15.75" customHeight="1" x14ac:dyDescent="0.2"/>
    <row r="59" spans="2:10" ht="15.75" customHeight="1" x14ac:dyDescent="0.2"/>
    <row r="60" spans="2:10" ht="15.75" customHeight="1" x14ac:dyDescent="0.2"/>
    <row r="61" spans="2:10" ht="15.75" customHeight="1" x14ac:dyDescent="0.2"/>
  </sheetData>
  <pageMargins left="0.75" right="0.75" top="1" bottom="1" header="0.5" footer="0.5"/>
  <pageSetup scale="71" orientation="portrait" horizontalDpi="360" verticalDpi="36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opLeftCell="A16"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6" bestFit="1" customWidth="1"/>
    <col min="4" max="4" width="21.5703125" bestFit="1" customWidth="1"/>
    <col min="5" max="5" width="3.140625" customWidth="1"/>
    <col min="6" max="6" width="19.7109375" customWidth="1"/>
    <col min="7" max="7" width="3.140625" customWidth="1"/>
    <col min="8" max="8" width="19.7109375" customWidth="1"/>
    <col min="9" max="9" width="3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301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268" t="s">
        <v>268</v>
      </c>
      <c r="D7" s="83"/>
      <c r="E7" s="9"/>
    </row>
    <row r="8" spans="2:5" ht="15.75" customHeight="1" x14ac:dyDescent="0.2">
      <c r="B8" s="8"/>
      <c r="C8" s="13" t="s">
        <v>269</v>
      </c>
      <c r="D8" s="259">
        <v>2800000</v>
      </c>
      <c r="E8" s="9"/>
    </row>
    <row r="9" spans="2:5" ht="15.75" customHeight="1" x14ac:dyDescent="0.2">
      <c r="B9" s="8"/>
      <c r="C9" s="13" t="s">
        <v>270</v>
      </c>
      <c r="D9" s="259">
        <v>1600000</v>
      </c>
      <c r="E9" s="9"/>
    </row>
    <row r="10" spans="2:5" ht="15.75" customHeight="1" x14ac:dyDescent="0.2">
      <c r="B10" s="8"/>
      <c r="C10" s="13" t="s">
        <v>271</v>
      </c>
      <c r="D10" s="83">
        <v>855000</v>
      </c>
      <c r="E10" s="9"/>
    </row>
    <row r="11" spans="2:5" ht="15.75" customHeight="1" x14ac:dyDescent="0.2">
      <c r="B11" s="8"/>
      <c r="C11" s="13" t="s">
        <v>5</v>
      </c>
      <c r="D11" s="384">
        <f>D9/5</f>
        <v>320000</v>
      </c>
      <c r="E11" s="9"/>
    </row>
    <row r="12" spans="2:5" ht="15.75" customHeight="1" x14ac:dyDescent="0.2">
      <c r="B12" s="8"/>
      <c r="C12" s="13" t="s">
        <v>272</v>
      </c>
      <c r="D12" s="259">
        <v>140000</v>
      </c>
      <c r="E12" s="9"/>
    </row>
    <row r="13" spans="2:5" ht="15.75" customHeight="1" x14ac:dyDescent="0.2">
      <c r="B13" s="8"/>
      <c r="C13" s="13" t="s">
        <v>273</v>
      </c>
      <c r="D13" s="259">
        <v>0</v>
      </c>
      <c r="E13" s="9"/>
    </row>
    <row r="14" spans="2:5" ht="15.75" customHeight="1" x14ac:dyDescent="0.2">
      <c r="B14" s="8"/>
      <c r="C14" s="13"/>
      <c r="D14" s="259"/>
      <c r="E14" s="9"/>
    </row>
    <row r="15" spans="2:5" ht="15.75" customHeight="1" x14ac:dyDescent="0.2">
      <c r="B15" s="8"/>
      <c r="C15" s="268" t="s">
        <v>274</v>
      </c>
      <c r="D15" s="259"/>
      <c r="E15" s="9"/>
    </row>
    <row r="16" spans="2:5" ht="15.75" customHeight="1" x14ac:dyDescent="0.2">
      <c r="B16" s="8"/>
      <c r="C16" s="13" t="s">
        <v>45</v>
      </c>
      <c r="D16" s="259">
        <v>4500000</v>
      </c>
      <c r="E16" s="9"/>
    </row>
    <row r="17" spans="2:10" ht="15.75" customHeight="1" x14ac:dyDescent="0.2">
      <c r="B17" s="8"/>
      <c r="C17" s="13" t="s">
        <v>271</v>
      </c>
      <c r="D17" s="259">
        <v>350000</v>
      </c>
      <c r="E17" s="9"/>
    </row>
    <row r="18" spans="2:10" ht="15.75" customHeight="1" x14ac:dyDescent="0.2">
      <c r="B18" s="8"/>
      <c r="C18" s="13" t="s">
        <v>32</v>
      </c>
      <c r="D18" s="259">
        <v>900000</v>
      </c>
      <c r="E18" s="9"/>
    </row>
    <row r="19" spans="2:10" ht="15.75" customHeight="1" x14ac:dyDescent="0.2">
      <c r="B19" s="8"/>
      <c r="C19" s="13"/>
      <c r="D19" s="259"/>
      <c r="E19" s="9"/>
    </row>
    <row r="20" spans="2:10" ht="15.75" customHeight="1" x14ac:dyDescent="0.2">
      <c r="B20" s="8"/>
      <c r="C20" s="13" t="s">
        <v>275</v>
      </c>
      <c r="D20" s="259"/>
      <c r="E20" s="9"/>
    </row>
    <row r="21" spans="2:10" ht="15.75" customHeight="1" x14ac:dyDescent="0.2">
      <c r="B21" s="8"/>
      <c r="C21" s="13" t="s">
        <v>276</v>
      </c>
      <c r="D21" s="259">
        <v>3400000</v>
      </c>
      <c r="E21" s="9"/>
    </row>
    <row r="22" spans="2:10" ht="15.75" customHeight="1" x14ac:dyDescent="0.2">
      <c r="B22" s="8"/>
      <c r="C22" s="13"/>
      <c r="D22" s="259"/>
      <c r="E22" s="9"/>
    </row>
    <row r="23" spans="2:10" ht="15.75" customHeight="1" x14ac:dyDescent="0.2">
      <c r="B23" s="8"/>
      <c r="C23" s="13" t="s">
        <v>6</v>
      </c>
      <c r="D23" s="151">
        <v>0.21</v>
      </c>
      <c r="E23" s="9"/>
    </row>
    <row r="24" spans="2:10" ht="15.75" customHeight="1" x14ac:dyDescent="0.2">
      <c r="B24" s="8"/>
      <c r="C24" s="13" t="s">
        <v>31</v>
      </c>
      <c r="D24" s="151">
        <v>0.08</v>
      </c>
      <c r="E24" s="9"/>
    </row>
    <row r="25" spans="2:10" ht="15.75" customHeight="1" thickBot="1" x14ac:dyDescent="0.25">
      <c r="B25" s="10"/>
      <c r="C25" s="28"/>
      <c r="D25" s="61"/>
      <c r="E25" s="12"/>
    </row>
    <row r="26" spans="2:10" ht="15.75" customHeight="1" x14ac:dyDescent="0.2"/>
    <row r="27" spans="2:10" ht="15.75" customHeight="1" x14ac:dyDescent="0.2">
      <c r="C27" s="2" t="s">
        <v>2</v>
      </c>
    </row>
    <row r="28" spans="2:10" ht="15.75" customHeight="1" thickBot="1" x14ac:dyDescent="0.25"/>
    <row r="29" spans="2:10" ht="15.75" customHeight="1" x14ac:dyDescent="0.2">
      <c r="B29" s="15"/>
      <c r="C29" s="16"/>
      <c r="D29" s="16"/>
      <c r="E29" s="16"/>
      <c r="F29" s="16"/>
      <c r="G29" s="16"/>
      <c r="H29" s="16"/>
      <c r="I29" s="17"/>
      <c r="J29" s="30"/>
    </row>
    <row r="30" spans="2:10" ht="15.75" customHeight="1" x14ac:dyDescent="0.2">
      <c r="B30" s="18"/>
      <c r="C30" s="260"/>
      <c r="D30" s="325" t="s">
        <v>280</v>
      </c>
      <c r="E30" s="425"/>
      <c r="F30" s="325" t="s">
        <v>281</v>
      </c>
      <c r="G30" s="325"/>
      <c r="H30" s="325" t="s">
        <v>406</v>
      </c>
      <c r="I30" s="21"/>
      <c r="J30" s="30"/>
    </row>
    <row r="31" spans="2:10" ht="15.75" customHeight="1" x14ac:dyDescent="0.2">
      <c r="B31" s="18"/>
      <c r="C31" s="260"/>
      <c r="D31" s="20"/>
      <c r="E31" s="20"/>
      <c r="F31" s="20"/>
      <c r="G31" s="20"/>
      <c r="H31" s="20"/>
      <c r="I31" s="21"/>
      <c r="J31" s="30"/>
    </row>
    <row r="32" spans="2:10" ht="15.75" customHeight="1" x14ac:dyDescent="0.2">
      <c r="B32" s="18"/>
      <c r="C32" s="260" t="s">
        <v>88</v>
      </c>
      <c r="D32" s="20"/>
      <c r="E32" s="20"/>
      <c r="F32" s="20"/>
      <c r="G32" s="20"/>
      <c r="H32" s="20"/>
      <c r="I32" s="21"/>
      <c r="J32" s="30"/>
    </row>
    <row r="33" spans="2:10" ht="15.75" customHeight="1" x14ac:dyDescent="0.2">
      <c r="B33" s="18"/>
      <c r="C33" s="19" t="s">
        <v>277</v>
      </c>
      <c r="D33" s="78">
        <f>-D16</f>
        <v>-4500000</v>
      </c>
      <c r="E33" s="20"/>
      <c r="F33" s="78">
        <v>0</v>
      </c>
      <c r="G33" s="78"/>
      <c r="H33" s="78">
        <f>-D16</f>
        <v>-4500000</v>
      </c>
      <c r="I33" s="21"/>
      <c r="J33" s="30"/>
    </row>
    <row r="34" spans="2:10" ht="15.75" customHeight="1" x14ac:dyDescent="0.2">
      <c r="B34" s="18"/>
      <c r="C34" s="19" t="s">
        <v>407</v>
      </c>
      <c r="D34" s="79">
        <v>0</v>
      </c>
      <c r="E34" s="20"/>
      <c r="F34" s="79">
        <f>-D8</f>
        <v>-2800000</v>
      </c>
      <c r="G34" s="79"/>
      <c r="H34" s="79">
        <f>-F34</f>
        <v>2800000</v>
      </c>
      <c r="I34" s="21"/>
      <c r="J34" s="30"/>
    </row>
    <row r="35" spans="2:10" ht="15.75" customHeight="1" x14ac:dyDescent="0.2">
      <c r="B35" s="18"/>
      <c r="C35" s="19" t="s">
        <v>278</v>
      </c>
      <c r="D35" s="81">
        <v>0</v>
      </c>
      <c r="E35" s="20"/>
      <c r="F35" s="81">
        <f>-(D9-D8)*D23</f>
        <v>252000</v>
      </c>
      <c r="G35" s="79"/>
      <c r="H35" s="81">
        <f>-F35</f>
        <v>-252000</v>
      </c>
      <c r="I35" s="21"/>
      <c r="J35" s="30"/>
    </row>
    <row r="36" spans="2:10" ht="15.75" customHeight="1" x14ac:dyDescent="0.2">
      <c r="B36" s="18"/>
      <c r="C36" s="19" t="s">
        <v>192</v>
      </c>
      <c r="D36" s="78">
        <f>SUM(D33:D35)</f>
        <v>-4500000</v>
      </c>
      <c r="E36" s="20"/>
      <c r="F36" s="78">
        <f>SUM(F33:F35)</f>
        <v>-2548000</v>
      </c>
      <c r="G36" s="78"/>
      <c r="H36" s="78">
        <f>SUM(H33:H35)</f>
        <v>-1952000</v>
      </c>
      <c r="I36" s="21"/>
      <c r="J36" s="30"/>
    </row>
    <row r="37" spans="2:10" ht="15.75" customHeight="1" x14ac:dyDescent="0.25">
      <c r="B37" s="18"/>
      <c r="C37" s="20"/>
      <c r="D37" s="20"/>
      <c r="E37" s="20"/>
      <c r="F37" s="20"/>
      <c r="G37" s="20"/>
      <c r="H37" s="86"/>
      <c r="I37" s="21"/>
      <c r="J37" s="30"/>
    </row>
    <row r="38" spans="2:10" ht="15.75" customHeight="1" x14ac:dyDescent="0.2">
      <c r="B38" s="18"/>
      <c r="C38" s="19" t="s">
        <v>224</v>
      </c>
      <c r="D38" s="78">
        <f>D17</f>
        <v>350000</v>
      </c>
      <c r="E38" s="79"/>
      <c r="F38" s="78">
        <f>D10</f>
        <v>855000</v>
      </c>
      <c r="G38" s="78"/>
      <c r="H38" s="78">
        <f>D38-F38</f>
        <v>-505000</v>
      </c>
      <c r="I38" s="21"/>
      <c r="J38" s="30"/>
    </row>
    <row r="39" spans="2:10" ht="15.75" customHeight="1" x14ac:dyDescent="0.2">
      <c r="B39" s="18"/>
      <c r="C39" s="19" t="s">
        <v>5</v>
      </c>
      <c r="D39" s="81">
        <f>D16/5</f>
        <v>900000</v>
      </c>
      <c r="E39" s="79"/>
      <c r="F39" s="81">
        <f>D11</f>
        <v>320000</v>
      </c>
      <c r="G39" s="79"/>
      <c r="H39" s="81">
        <f>D39-F39</f>
        <v>580000</v>
      </c>
      <c r="I39" s="21"/>
      <c r="J39" s="30"/>
    </row>
    <row r="40" spans="2:10" ht="15.75" customHeight="1" x14ac:dyDescent="0.2">
      <c r="B40" s="18"/>
      <c r="C40" s="20" t="s">
        <v>8</v>
      </c>
      <c r="D40" s="78">
        <f>-D38-D39</f>
        <v>-1250000</v>
      </c>
      <c r="E40" s="78"/>
      <c r="F40" s="78">
        <f>-F38-F39</f>
        <v>-1175000</v>
      </c>
      <c r="G40" s="78"/>
      <c r="H40" s="182">
        <f>-H38-H39</f>
        <v>-75000</v>
      </c>
      <c r="I40" s="21"/>
      <c r="J40" s="30"/>
    </row>
    <row r="41" spans="2:10" ht="15.75" customHeight="1" x14ac:dyDescent="0.2">
      <c r="B41" s="18"/>
      <c r="C41" s="19" t="s">
        <v>76</v>
      </c>
      <c r="D41" s="79">
        <f>D40*D23</f>
        <v>-262500</v>
      </c>
      <c r="E41" s="79"/>
      <c r="F41" s="79">
        <f>F40*D23</f>
        <v>-246750</v>
      </c>
      <c r="G41" s="79"/>
      <c r="H41" s="281">
        <f>H40*D23</f>
        <v>-15750</v>
      </c>
      <c r="I41" s="21"/>
      <c r="J41" s="30"/>
    </row>
    <row r="42" spans="2:10" ht="15.75" customHeight="1" thickBot="1" x14ac:dyDescent="0.25">
      <c r="B42" s="18"/>
      <c r="C42" s="19" t="s">
        <v>110</v>
      </c>
      <c r="D42" s="125">
        <f>D40-D41</f>
        <v>-987500</v>
      </c>
      <c r="E42" s="78"/>
      <c r="F42" s="125">
        <f>F40-F41</f>
        <v>-928250</v>
      </c>
      <c r="G42" s="78"/>
      <c r="H42" s="280">
        <f>H40-H41</f>
        <v>-59250</v>
      </c>
      <c r="I42" s="21"/>
      <c r="J42" s="30"/>
    </row>
    <row r="43" spans="2:10" ht="15.75" customHeight="1" thickTop="1" x14ac:dyDescent="0.2">
      <c r="B43" s="18"/>
      <c r="C43" s="19" t="s">
        <v>11</v>
      </c>
      <c r="D43" s="78">
        <f>D42+D39</f>
        <v>-87500</v>
      </c>
      <c r="E43" s="78"/>
      <c r="F43" s="78">
        <f>F42+F39</f>
        <v>-608250</v>
      </c>
      <c r="G43" s="78"/>
      <c r="H43" s="182">
        <f>H42+H39</f>
        <v>520750</v>
      </c>
      <c r="I43" s="21"/>
      <c r="J43" s="30"/>
    </row>
    <row r="44" spans="2:10" ht="15.75" customHeight="1" x14ac:dyDescent="0.2">
      <c r="B44" s="18"/>
      <c r="C44" s="19"/>
      <c r="D44" s="78"/>
      <c r="E44" s="78"/>
      <c r="F44" s="78"/>
      <c r="G44" s="78"/>
      <c r="H44" s="85"/>
      <c r="I44" s="21"/>
      <c r="J44" s="30"/>
    </row>
    <row r="45" spans="2:10" ht="15.75" customHeight="1" x14ac:dyDescent="0.2">
      <c r="B45" s="18"/>
      <c r="C45" s="260" t="s">
        <v>27</v>
      </c>
      <c r="D45" s="78"/>
      <c r="E45" s="78"/>
      <c r="F45" s="78"/>
      <c r="G45" s="78"/>
      <c r="H45" s="85"/>
      <c r="I45" s="21"/>
      <c r="J45" s="30"/>
    </row>
    <row r="46" spans="2:10" ht="15.75" customHeight="1" x14ac:dyDescent="0.2">
      <c r="B46" s="18"/>
      <c r="C46" s="19" t="s">
        <v>279</v>
      </c>
      <c r="D46" s="78">
        <f>D18</f>
        <v>900000</v>
      </c>
      <c r="E46" s="78"/>
      <c r="F46" s="78">
        <f>D12</f>
        <v>140000</v>
      </c>
      <c r="G46" s="78"/>
      <c r="H46" s="182">
        <f>D46</f>
        <v>900000</v>
      </c>
      <c r="I46" s="21"/>
      <c r="J46" s="30"/>
    </row>
    <row r="47" spans="2:10" ht="15.75" customHeight="1" x14ac:dyDescent="0.2">
      <c r="B47" s="18"/>
      <c r="C47" s="19" t="s">
        <v>76</v>
      </c>
      <c r="D47" s="79">
        <f>-D18*D23</f>
        <v>-189000</v>
      </c>
      <c r="E47" s="78"/>
      <c r="F47" s="78">
        <f>(D13-D12)*D23</f>
        <v>-29400</v>
      </c>
      <c r="G47" s="78"/>
      <c r="H47" s="79">
        <f>D47</f>
        <v>-189000</v>
      </c>
      <c r="I47" s="21"/>
      <c r="J47" s="30"/>
    </row>
    <row r="48" spans="2:10" ht="15.75" customHeight="1" x14ac:dyDescent="0.2">
      <c r="B48" s="18"/>
      <c r="C48" s="19" t="s">
        <v>284</v>
      </c>
      <c r="D48" s="79">
        <v>0</v>
      </c>
      <c r="E48" s="78"/>
      <c r="F48" s="78">
        <v>0</v>
      </c>
      <c r="G48" s="78"/>
      <c r="H48" s="79">
        <f>-F46</f>
        <v>-140000</v>
      </c>
      <c r="I48" s="21"/>
      <c r="J48" s="30"/>
    </row>
    <row r="49" spans="2:10" ht="15.75" customHeight="1" x14ac:dyDescent="0.2">
      <c r="B49" s="18"/>
      <c r="C49" s="19" t="s">
        <v>285</v>
      </c>
      <c r="D49" s="81">
        <v>0</v>
      </c>
      <c r="E49" s="78"/>
      <c r="F49" s="183">
        <v>0</v>
      </c>
      <c r="G49" s="20"/>
      <c r="H49" s="81">
        <f>-F47</f>
        <v>29400</v>
      </c>
      <c r="I49" s="21"/>
      <c r="J49" s="30"/>
    </row>
    <row r="50" spans="2:10" ht="15.75" customHeight="1" x14ac:dyDescent="0.25">
      <c r="B50" s="18"/>
      <c r="C50" s="19" t="s">
        <v>192</v>
      </c>
      <c r="D50" s="78">
        <f>SUM(D46:D47)</f>
        <v>711000</v>
      </c>
      <c r="E50" s="78"/>
      <c r="F50" s="78">
        <f>SUM(F46:F47)</f>
        <v>110600</v>
      </c>
      <c r="G50" s="86"/>
      <c r="H50" s="182">
        <f>SUM(H46:H49)</f>
        <v>600400</v>
      </c>
      <c r="I50" s="21"/>
      <c r="J50" s="30"/>
    </row>
    <row r="51" spans="2:10" ht="15.75" customHeight="1" x14ac:dyDescent="0.25">
      <c r="B51" s="18"/>
      <c r="C51" s="20"/>
      <c r="D51" s="20"/>
      <c r="E51" s="20"/>
      <c r="F51" s="20"/>
      <c r="G51" s="260"/>
      <c r="H51" s="86"/>
      <c r="I51" s="21"/>
      <c r="J51" s="30"/>
    </row>
    <row r="52" spans="2:10" ht="15.75" customHeight="1" x14ac:dyDescent="0.25">
      <c r="B52" s="18"/>
      <c r="C52" s="19" t="s">
        <v>20</v>
      </c>
      <c r="D52" s="129">
        <f>PV(D24,5,-D43,-D50)+D36</f>
        <v>-4365467.4751533344</v>
      </c>
      <c r="E52" s="260"/>
      <c r="F52" s="129">
        <f>PV(D24,5,-F43,-F50)+F36</f>
        <v>-4901293.3784608133</v>
      </c>
      <c r="G52" s="260"/>
      <c r="H52" s="129">
        <f>PV(D24,5,-H43,-H50)+H36</f>
        <v>535825.90330747934</v>
      </c>
      <c r="I52" s="21"/>
      <c r="J52" s="30"/>
    </row>
    <row r="53" spans="2:10" ht="15.75" customHeight="1" x14ac:dyDescent="0.25">
      <c r="B53" s="18"/>
      <c r="C53" s="19"/>
      <c r="D53" s="86"/>
      <c r="E53" s="260"/>
      <c r="F53" s="260"/>
      <c r="G53" s="260"/>
      <c r="H53" s="260"/>
      <c r="I53" s="21"/>
      <c r="J53" s="30"/>
    </row>
    <row r="54" spans="2:10" ht="15.75" customHeight="1" x14ac:dyDescent="0.25">
      <c r="B54" s="18"/>
      <c r="C54" s="19" t="s">
        <v>282</v>
      </c>
      <c r="D54" s="86" t="str">
        <f>IF(F52&gt;D52,"keep the old machine","buy the new machine")</f>
        <v>buy the new machine</v>
      </c>
      <c r="E54" s="260"/>
      <c r="F54" s="260"/>
      <c r="G54" s="260"/>
      <c r="H54" s="260"/>
      <c r="I54" s="21"/>
      <c r="J54" s="30"/>
    </row>
    <row r="55" spans="2:10" ht="15.75" customHeight="1" x14ac:dyDescent="0.25">
      <c r="B55" s="18"/>
      <c r="C55" s="19" t="s">
        <v>283</v>
      </c>
      <c r="D55" s="86"/>
      <c r="E55" s="260"/>
      <c r="F55" s="260"/>
      <c r="G55" s="334"/>
      <c r="H55" s="334"/>
      <c r="I55" s="21"/>
      <c r="J55" s="30"/>
    </row>
    <row r="56" spans="2:10" ht="15.75" customHeight="1" x14ac:dyDescent="0.25">
      <c r="B56" s="18"/>
      <c r="C56" s="19"/>
      <c r="D56" s="86"/>
      <c r="E56" s="260"/>
      <c r="F56" s="260"/>
      <c r="G56" s="260"/>
      <c r="H56" s="260"/>
      <c r="I56" s="21"/>
      <c r="J56" s="30"/>
    </row>
    <row r="57" spans="2:10" ht="15.75" customHeight="1" x14ac:dyDescent="0.25">
      <c r="B57" s="18"/>
      <c r="C57" s="19" t="s">
        <v>286</v>
      </c>
      <c r="D57" s="86"/>
      <c r="E57" s="260"/>
      <c r="F57" s="260"/>
      <c r="G57" s="260"/>
      <c r="H57" s="260"/>
      <c r="I57" s="21"/>
      <c r="J57" s="30"/>
    </row>
    <row r="58" spans="2:10" ht="15.75" customHeight="1" x14ac:dyDescent="0.25">
      <c r="B58" s="18"/>
      <c r="C58" s="19" t="s">
        <v>287</v>
      </c>
      <c r="D58" s="86"/>
      <c r="E58" s="260"/>
      <c r="F58" s="260"/>
      <c r="G58" s="260"/>
      <c r="H58" s="260"/>
      <c r="I58" s="21"/>
      <c r="J58" s="30"/>
    </row>
    <row r="59" spans="2:10" ht="15.75" customHeight="1" x14ac:dyDescent="0.25">
      <c r="B59" s="18"/>
      <c r="C59" s="19" t="s">
        <v>288</v>
      </c>
      <c r="D59" s="86"/>
      <c r="E59" s="260"/>
      <c r="F59" s="260"/>
      <c r="G59" s="260"/>
      <c r="H59" s="260"/>
      <c r="I59" s="21"/>
      <c r="J59" s="30"/>
    </row>
    <row r="60" spans="2:10" ht="15.75" customHeight="1" x14ac:dyDescent="0.25">
      <c r="B60" s="18"/>
      <c r="C60" s="19"/>
      <c r="D60" s="86"/>
      <c r="E60" s="260"/>
      <c r="F60" s="260"/>
      <c r="G60" s="86"/>
      <c r="H60" s="86"/>
      <c r="I60" s="21"/>
      <c r="J60" s="30"/>
    </row>
    <row r="61" spans="2:10" ht="15.75" customHeight="1" x14ac:dyDescent="0.2">
      <c r="B61" s="18"/>
      <c r="C61" s="19" t="s">
        <v>290</v>
      </c>
      <c r="D61" s="282" t="s">
        <v>289</v>
      </c>
      <c r="E61" s="260"/>
      <c r="F61" s="260"/>
      <c r="G61" s="260"/>
      <c r="H61" s="260"/>
      <c r="I61" s="21"/>
      <c r="J61" s="30"/>
    </row>
    <row r="62" spans="2:10" ht="15.75" customHeight="1" x14ac:dyDescent="0.25">
      <c r="B62" s="18"/>
      <c r="C62" s="85">
        <f>D52</f>
        <v>-4365467.4751533344</v>
      </c>
      <c r="D62" s="85">
        <f>F52</f>
        <v>-4901293.3784608133</v>
      </c>
      <c r="E62" s="283" t="s">
        <v>291</v>
      </c>
      <c r="F62" s="129">
        <f>C62-D62</f>
        <v>535825.90330747887</v>
      </c>
      <c r="G62" s="260"/>
      <c r="H62" s="260"/>
      <c r="I62" s="21"/>
      <c r="J62" s="30"/>
    </row>
    <row r="63" spans="2:10" ht="15.75" customHeight="1" x14ac:dyDescent="0.25">
      <c r="B63" s="18"/>
      <c r="C63" s="19"/>
      <c r="D63" s="86"/>
      <c r="E63" s="260"/>
      <c r="F63" s="260"/>
      <c r="G63" s="19"/>
      <c r="H63" s="19"/>
      <c r="I63" s="21"/>
      <c r="J63" s="30"/>
    </row>
    <row r="64" spans="2:10" ht="15.75" customHeight="1" x14ac:dyDescent="0.25">
      <c r="B64" s="337"/>
      <c r="C64" s="19" t="s">
        <v>292</v>
      </c>
      <c r="D64" s="86"/>
      <c r="E64" s="260"/>
      <c r="F64" s="260"/>
      <c r="G64" s="56"/>
      <c r="H64" s="56"/>
      <c r="I64" s="178"/>
    </row>
    <row r="65" spans="2:9" ht="15.75" customHeight="1" thickBot="1" x14ac:dyDescent="0.25">
      <c r="B65" s="338"/>
      <c r="C65" s="53"/>
      <c r="D65" s="53"/>
      <c r="E65" s="53"/>
      <c r="F65" s="53"/>
      <c r="G65" s="339"/>
      <c r="H65" s="339"/>
      <c r="I65" s="198"/>
    </row>
    <row r="66" spans="2:9" ht="15.75" customHeight="1" x14ac:dyDescent="0.2">
      <c r="C66" s="14"/>
      <c r="D66" s="14"/>
      <c r="E66" s="14"/>
      <c r="F66" s="14"/>
    </row>
    <row r="67" spans="2:9" ht="15.75" customHeight="1" x14ac:dyDescent="0.2"/>
    <row r="68" spans="2:9" ht="15.75" customHeight="1" x14ac:dyDescent="0.2">
      <c r="D68" s="26"/>
    </row>
    <row r="69" spans="2:9" ht="15.75" customHeight="1" x14ac:dyDescent="0.2"/>
    <row r="70" spans="2:9" ht="15.75" customHeight="1" x14ac:dyDescent="0.2"/>
    <row r="71" spans="2:9" ht="15.75" customHeight="1" x14ac:dyDescent="0.2"/>
    <row r="72" spans="2:9" ht="15.75" customHeight="1" x14ac:dyDescent="0.2"/>
    <row r="73" spans="2:9" ht="15.75" customHeight="1" x14ac:dyDescent="0.2"/>
    <row r="74" spans="2:9" ht="15.75" customHeight="1" x14ac:dyDescent="0.2"/>
  </sheetData>
  <phoneticPr fontId="0" type="noConversion"/>
  <pageMargins left="0.75" right="0.75" top="1" bottom="1" header="0.5" footer="0.5"/>
  <pageSetup scale="81" orientation="portrait" horizontalDpi="360" verticalDpi="360" r:id="rId1"/>
  <headerFooter alignWithMargins="0"/>
  <rowBreaks count="1" manualBreakCount="1">
    <brk id="52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0.42578125" bestFit="1" customWidth="1"/>
    <col min="4" max="4" width="18.28515625" bestFit="1" customWidth="1"/>
    <col min="5" max="9" width="17.5703125" bestFit="1" customWidth="1"/>
    <col min="10" max="10" width="3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302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295</v>
      </c>
      <c r="D7" s="83">
        <v>1200000</v>
      </c>
      <c r="E7" s="9"/>
    </row>
    <row r="8" spans="2:5" ht="15.75" customHeight="1" x14ac:dyDescent="0.2">
      <c r="B8" s="8"/>
      <c r="C8" s="13" t="s">
        <v>300</v>
      </c>
      <c r="D8" s="274">
        <v>25000</v>
      </c>
      <c r="E8" s="9"/>
    </row>
    <row r="9" spans="2:5" ht="15.75" customHeight="1" x14ac:dyDescent="0.2">
      <c r="B9" s="8"/>
      <c r="C9" s="13" t="s">
        <v>296</v>
      </c>
      <c r="D9" s="259">
        <v>47</v>
      </c>
      <c r="E9" s="9"/>
    </row>
    <row r="10" spans="2:5" ht="15.75" customHeight="1" x14ac:dyDescent="0.2">
      <c r="B10" s="8"/>
      <c r="C10" s="13" t="s">
        <v>297</v>
      </c>
      <c r="D10" s="151">
        <v>0.03</v>
      </c>
      <c r="E10" s="9"/>
    </row>
    <row r="11" spans="2:5" ht="15.75" customHeight="1" x14ac:dyDescent="0.2">
      <c r="B11" s="8"/>
      <c r="C11" s="13" t="s">
        <v>298</v>
      </c>
      <c r="D11" s="259">
        <v>17</v>
      </c>
      <c r="E11" s="9"/>
    </row>
    <row r="12" spans="2:5" ht="15.75" customHeight="1" x14ac:dyDescent="0.2">
      <c r="B12" s="8"/>
      <c r="C12" s="13" t="s">
        <v>299</v>
      </c>
      <c r="D12" s="151">
        <v>0.04</v>
      </c>
      <c r="E12" s="9"/>
    </row>
    <row r="13" spans="2:5" ht="15.75" customHeight="1" x14ac:dyDescent="0.2">
      <c r="B13" s="8"/>
      <c r="C13" s="13" t="s">
        <v>78</v>
      </c>
      <c r="D13" s="259">
        <v>235000</v>
      </c>
      <c r="E13" s="9"/>
    </row>
    <row r="14" spans="2:5" ht="15.75" customHeight="1" x14ac:dyDescent="0.2">
      <c r="B14" s="8"/>
      <c r="C14" s="13" t="s">
        <v>87</v>
      </c>
      <c r="D14" s="259">
        <v>200000</v>
      </c>
      <c r="E14" s="9"/>
    </row>
    <row r="15" spans="2:5" ht="15.75" customHeight="1" x14ac:dyDescent="0.2">
      <c r="B15" s="8"/>
      <c r="C15" s="13" t="s">
        <v>6</v>
      </c>
      <c r="D15" s="151">
        <v>0.21</v>
      </c>
      <c r="E15" s="9"/>
    </row>
    <row r="16" spans="2:5" ht="15.75" customHeight="1" x14ac:dyDescent="0.2">
      <c r="B16" s="8"/>
      <c r="C16" s="13" t="s">
        <v>19</v>
      </c>
      <c r="D16" s="151">
        <v>0.11</v>
      </c>
      <c r="E16" s="9"/>
    </row>
    <row r="17" spans="2:11" ht="15.75" customHeight="1" x14ac:dyDescent="0.2">
      <c r="B17" s="8"/>
      <c r="C17" s="13" t="s">
        <v>51</v>
      </c>
      <c r="D17" s="59"/>
      <c r="E17" s="9"/>
    </row>
    <row r="18" spans="2:11" ht="15.75" customHeight="1" thickBot="1" x14ac:dyDescent="0.25">
      <c r="B18" s="10"/>
      <c r="C18" s="28"/>
      <c r="D18" s="61"/>
      <c r="E18" s="12"/>
    </row>
    <row r="19" spans="2:11" ht="15.75" customHeight="1" x14ac:dyDescent="0.2"/>
    <row r="20" spans="2:11" ht="15.75" customHeight="1" x14ac:dyDescent="0.2">
      <c r="C20" s="2" t="s">
        <v>2</v>
      </c>
    </row>
    <row r="21" spans="2:11" ht="15.75" customHeight="1" thickBot="1" x14ac:dyDescent="0.25"/>
    <row r="22" spans="2:11" ht="15.75" customHeight="1" x14ac:dyDescent="0.2">
      <c r="B22" s="15"/>
      <c r="C22" s="16"/>
      <c r="D22" s="16"/>
      <c r="E22" s="16"/>
      <c r="F22" s="16"/>
      <c r="G22" s="16"/>
      <c r="H22" s="16"/>
      <c r="I22" s="16"/>
      <c r="J22" s="17"/>
      <c r="K22" s="30"/>
    </row>
    <row r="23" spans="2:11" ht="15.75" customHeight="1" x14ac:dyDescent="0.2">
      <c r="B23" s="18"/>
      <c r="C23" s="19" t="s">
        <v>260</v>
      </c>
      <c r="D23" s="20"/>
      <c r="E23" s="85">
        <f>D9</f>
        <v>47</v>
      </c>
      <c r="F23" s="85">
        <f>E23*(1+$D$10)</f>
        <v>48.410000000000004</v>
      </c>
      <c r="G23" s="85">
        <f>F23*(1+$D$10)</f>
        <v>49.862300000000005</v>
      </c>
      <c r="H23" s="85">
        <f>G23*(1+$D$10)</f>
        <v>51.358169000000004</v>
      </c>
      <c r="I23" s="85">
        <f>H23*(1+$D$10)</f>
        <v>52.898914070000004</v>
      </c>
      <c r="J23" s="21"/>
      <c r="K23" s="30"/>
    </row>
    <row r="24" spans="2:11" ht="15.75" customHeight="1" x14ac:dyDescent="0.2">
      <c r="B24" s="18"/>
      <c r="C24" s="19" t="s">
        <v>173</v>
      </c>
      <c r="D24" s="20"/>
      <c r="E24" s="85">
        <f>D11</f>
        <v>17</v>
      </c>
      <c r="F24" s="85">
        <f>E24*(1+$D$12)</f>
        <v>17.68</v>
      </c>
      <c r="G24" s="85">
        <f>F24*(1+$D$12)</f>
        <v>18.3872</v>
      </c>
      <c r="H24" s="85">
        <f>G24*(1+$D$12)</f>
        <v>19.122688</v>
      </c>
      <c r="I24" s="85">
        <f>H24*(1+$D$12)</f>
        <v>19.887595520000001</v>
      </c>
      <c r="J24" s="21"/>
      <c r="K24" s="30"/>
    </row>
    <row r="25" spans="2:11" ht="15.75" customHeight="1" x14ac:dyDescent="0.2">
      <c r="B25" s="18"/>
      <c r="C25" s="20"/>
      <c r="D25" s="20"/>
      <c r="E25" s="20"/>
      <c r="F25" s="20"/>
      <c r="G25" s="20"/>
      <c r="H25" s="20"/>
      <c r="I25" s="20"/>
      <c r="J25" s="21"/>
      <c r="K25" s="30"/>
    </row>
    <row r="26" spans="2:11" ht="15.75" customHeight="1" x14ac:dyDescent="0.2">
      <c r="B26" s="18"/>
      <c r="C26" s="260"/>
      <c r="D26" s="261" t="s">
        <v>175</v>
      </c>
      <c r="E26" s="261" t="s">
        <v>176</v>
      </c>
      <c r="F26" s="261" t="s">
        <v>177</v>
      </c>
      <c r="G26" s="261" t="s">
        <v>178</v>
      </c>
      <c r="H26" s="261" t="s">
        <v>179</v>
      </c>
      <c r="I26" s="261" t="s">
        <v>220</v>
      </c>
      <c r="J26" s="21"/>
      <c r="K26" s="30"/>
    </row>
    <row r="27" spans="2:11" ht="15.75" customHeight="1" x14ac:dyDescent="0.2">
      <c r="B27" s="18"/>
      <c r="C27" s="19" t="s">
        <v>242</v>
      </c>
      <c r="D27" s="19"/>
      <c r="E27" s="222">
        <f>E23*$D$8</f>
        <v>1175000</v>
      </c>
      <c r="F27" s="222">
        <f>F23*$D$8</f>
        <v>1210250</v>
      </c>
      <c r="G27" s="222">
        <f>G23*$D$8</f>
        <v>1246557.5000000002</v>
      </c>
      <c r="H27" s="222">
        <f>H23*$D$8</f>
        <v>1283954.2250000001</v>
      </c>
      <c r="I27" s="222">
        <f>I23*$D$8</f>
        <v>1322472.8517500001</v>
      </c>
      <c r="J27" s="21"/>
      <c r="K27" s="30"/>
    </row>
    <row r="28" spans="2:11" ht="15.75" customHeight="1" x14ac:dyDescent="0.2">
      <c r="B28" s="18"/>
      <c r="C28" s="19" t="s">
        <v>78</v>
      </c>
      <c r="D28" s="19"/>
      <c r="E28" s="231">
        <f>D13</f>
        <v>235000</v>
      </c>
      <c r="F28" s="231">
        <f>E28</f>
        <v>235000</v>
      </c>
      <c r="G28" s="231">
        <f>F28</f>
        <v>235000</v>
      </c>
      <c r="H28" s="231">
        <f>G28</f>
        <v>235000</v>
      </c>
      <c r="I28" s="231">
        <f>H28</f>
        <v>235000</v>
      </c>
      <c r="J28" s="21"/>
      <c r="K28" s="30"/>
    </row>
    <row r="29" spans="2:11" ht="15.75" customHeight="1" x14ac:dyDescent="0.2">
      <c r="B29" s="18"/>
      <c r="C29" s="19" t="s">
        <v>77</v>
      </c>
      <c r="D29" s="19"/>
      <c r="E29" s="231">
        <f>E24*$D$8</f>
        <v>425000</v>
      </c>
      <c r="F29" s="231">
        <f>F24*$D$8</f>
        <v>442000</v>
      </c>
      <c r="G29" s="231">
        <f>G24*$D$8</f>
        <v>459680</v>
      </c>
      <c r="H29" s="231">
        <f>H24*$D$8</f>
        <v>478067.20000000001</v>
      </c>
      <c r="I29" s="231">
        <f>I24*$D$8</f>
        <v>497189.88800000004</v>
      </c>
      <c r="J29" s="21"/>
      <c r="K29" s="30"/>
    </row>
    <row r="30" spans="2:11" ht="15.75" customHeight="1" x14ac:dyDescent="0.2">
      <c r="B30" s="18"/>
      <c r="C30" s="19" t="s">
        <v>5</v>
      </c>
      <c r="D30" s="19"/>
      <c r="E30" s="273">
        <f>D7/5</f>
        <v>240000</v>
      </c>
      <c r="F30" s="273">
        <f>E30</f>
        <v>240000</v>
      </c>
      <c r="G30" s="273">
        <f>F30</f>
        <v>240000</v>
      </c>
      <c r="H30" s="273">
        <f>G30</f>
        <v>240000</v>
      </c>
      <c r="I30" s="273">
        <f>H30</f>
        <v>240000</v>
      </c>
      <c r="J30" s="21"/>
      <c r="K30" s="30"/>
    </row>
    <row r="31" spans="2:11" ht="15.75" customHeight="1" x14ac:dyDescent="0.2">
      <c r="B31" s="18"/>
      <c r="C31" s="19" t="s">
        <v>8</v>
      </c>
      <c r="D31" s="20"/>
      <c r="E31" s="222">
        <f>E27-E28-E29-E30</f>
        <v>275000</v>
      </c>
      <c r="F31" s="222">
        <f>F27-F28-F29-F30</f>
        <v>293250</v>
      </c>
      <c r="G31" s="222">
        <f>G27-G28-G29-G30</f>
        <v>311877.50000000023</v>
      </c>
      <c r="H31" s="222">
        <f>H27-H28-H29-H30</f>
        <v>330887.02500000014</v>
      </c>
      <c r="I31" s="222">
        <f>I27-I28-I29-I30</f>
        <v>350282.96375000011</v>
      </c>
      <c r="J31" s="21"/>
      <c r="K31" s="30"/>
    </row>
    <row r="32" spans="2:11" ht="15.75" customHeight="1" x14ac:dyDescent="0.2">
      <c r="B32" s="18"/>
      <c r="C32" s="19" t="s">
        <v>76</v>
      </c>
      <c r="D32" s="19"/>
      <c r="E32" s="231">
        <f>E31*$D$15</f>
        <v>57750</v>
      </c>
      <c r="F32" s="231">
        <f>F31*$D$15</f>
        <v>61582.5</v>
      </c>
      <c r="G32" s="231">
        <f>G31*$D$15</f>
        <v>65494.275000000045</v>
      </c>
      <c r="H32" s="231">
        <f>H31*$D$15</f>
        <v>69486.275250000021</v>
      </c>
      <c r="I32" s="231">
        <f>I31*$D$15</f>
        <v>73559.422387500017</v>
      </c>
      <c r="J32" s="21"/>
      <c r="K32" s="30"/>
    </row>
    <row r="33" spans="2:11" ht="15.75" customHeight="1" thickBot="1" x14ac:dyDescent="0.25">
      <c r="B33" s="18"/>
      <c r="C33" s="19" t="s">
        <v>110</v>
      </c>
      <c r="D33" s="19"/>
      <c r="E33" s="272">
        <f>E31-E32</f>
        <v>217250</v>
      </c>
      <c r="F33" s="272">
        <f>F31-F32</f>
        <v>231667.5</v>
      </c>
      <c r="G33" s="272">
        <f>G31-G32</f>
        <v>246383.22500000018</v>
      </c>
      <c r="H33" s="272">
        <f>H31-H32</f>
        <v>261400.74975000013</v>
      </c>
      <c r="I33" s="272">
        <f>I31-I32</f>
        <v>276723.54136250011</v>
      </c>
      <c r="J33" s="21"/>
      <c r="K33" s="30"/>
    </row>
    <row r="34" spans="2:11" ht="15.75" customHeight="1" thickTop="1" x14ac:dyDescent="0.2">
      <c r="B34" s="18"/>
      <c r="C34" s="19" t="s">
        <v>11</v>
      </c>
      <c r="D34" s="19"/>
      <c r="E34" s="222">
        <f>E33+E30</f>
        <v>457250</v>
      </c>
      <c r="F34" s="222">
        <f>F33+F30</f>
        <v>471667.5</v>
      </c>
      <c r="G34" s="222">
        <f>G33+G30</f>
        <v>486383.22500000021</v>
      </c>
      <c r="H34" s="222">
        <f>H33+H30</f>
        <v>501400.74975000013</v>
      </c>
      <c r="I34" s="222">
        <f>I33+I30</f>
        <v>516723.54136250011</v>
      </c>
      <c r="J34" s="21"/>
      <c r="K34" s="30"/>
    </row>
    <row r="35" spans="2:11" ht="15.75" customHeight="1" x14ac:dyDescent="0.2">
      <c r="B35" s="18"/>
      <c r="C35" s="19"/>
      <c r="D35" s="19"/>
      <c r="E35" s="19"/>
      <c r="F35" s="19"/>
      <c r="G35" s="19"/>
      <c r="H35" s="19"/>
      <c r="I35" s="19"/>
      <c r="J35" s="21"/>
      <c r="K35" s="30"/>
    </row>
    <row r="36" spans="2:11" ht="15.75" customHeight="1" x14ac:dyDescent="0.2">
      <c r="B36" s="18"/>
      <c r="C36" s="19" t="s">
        <v>114</v>
      </c>
      <c r="D36" s="78">
        <f>-D7</f>
        <v>-1200000</v>
      </c>
      <c r="E36" s="19"/>
      <c r="F36" s="19"/>
      <c r="G36" s="19"/>
      <c r="H36" s="19"/>
      <c r="I36" s="19"/>
      <c r="J36" s="21"/>
      <c r="K36" s="30"/>
    </row>
    <row r="37" spans="2:11" ht="15.75" customHeight="1" x14ac:dyDescent="0.2">
      <c r="B37" s="18"/>
      <c r="C37" s="19" t="s">
        <v>87</v>
      </c>
      <c r="D37" s="385">
        <f>-D14</f>
        <v>-200000</v>
      </c>
      <c r="E37" s="386"/>
      <c r="F37" s="386"/>
      <c r="G37" s="386"/>
      <c r="H37" s="386"/>
      <c r="I37" s="385">
        <f>D14</f>
        <v>200000</v>
      </c>
      <c r="J37" s="21"/>
      <c r="K37" s="30"/>
    </row>
    <row r="38" spans="2:11" ht="15.75" customHeight="1" x14ac:dyDescent="0.2">
      <c r="B38" s="18"/>
      <c r="C38" s="19"/>
      <c r="D38" s="19"/>
      <c r="E38" s="19"/>
      <c r="F38" s="19"/>
      <c r="G38" s="19"/>
      <c r="H38" s="19"/>
      <c r="I38" s="19"/>
      <c r="J38" s="21"/>
      <c r="K38" s="30"/>
    </row>
    <row r="39" spans="2:11" ht="15.75" customHeight="1" x14ac:dyDescent="0.2">
      <c r="B39" s="18"/>
      <c r="C39" s="19" t="s">
        <v>115</v>
      </c>
      <c r="D39" s="85">
        <f t="shared" ref="D39:I39" si="0">D36+D37+D34</f>
        <v>-1400000</v>
      </c>
      <c r="E39" s="85">
        <f t="shared" si="0"/>
        <v>457250</v>
      </c>
      <c r="F39" s="85">
        <f t="shared" si="0"/>
        <v>471667.5</v>
      </c>
      <c r="G39" s="85">
        <f t="shared" si="0"/>
        <v>486383.22500000021</v>
      </c>
      <c r="H39" s="85">
        <f t="shared" si="0"/>
        <v>501400.74975000013</v>
      </c>
      <c r="I39" s="85">
        <f t="shared" si="0"/>
        <v>716723.54136250005</v>
      </c>
      <c r="J39" s="21"/>
      <c r="K39" s="30"/>
    </row>
    <row r="40" spans="2:11" ht="15.75" customHeight="1" x14ac:dyDescent="0.2">
      <c r="B40" s="18"/>
      <c r="C40" s="20"/>
      <c r="D40" s="20"/>
      <c r="E40" s="20"/>
      <c r="F40" s="20"/>
      <c r="G40" s="20"/>
      <c r="H40" s="20"/>
      <c r="I40" s="20"/>
      <c r="J40" s="21"/>
      <c r="K40" s="30"/>
    </row>
    <row r="41" spans="2:11" ht="15.75" customHeight="1" x14ac:dyDescent="0.25">
      <c r="B41" s="18"/>
      <c r="C41" s="19" t="s">
        <v>20</v>
      </c>
      <c r="D41" s="129">
        <f>NPV(D16,E39:I39)+D39</f>
        <v>506020.82489069807</v>
      </c>
      <c r="E41" s="260"/>
      <c r="F41" s="260"/>
      <c r="G41" s="260"/>
      <c r="H41" s="260"/>
      <c r="I41" s="260"/>
      <c r="J41" s="21"/>
      <c r="K41" s="30"/>
    </row>
    <row r="42" spans="2:11" ht="15.75" customHeight="1" x14ac:dyDescent="0.25">
      <c r="B42" s="18"/>
      <c r="C42" s="19"/>
      <c r="D42" s="86"/>
      <c r="E42" s="260"/>
      <c r="F42" s="260"/>
      <c r="G42" s="260"/>
      <c r="H42" s="260"/>
      <c r="I42" s="260"/>
      <c r="J42" s="21"/>
      <c r="K42" s="30"/>
    </row>
    <row r="43" spans="2:11" ht="15.75" customHeight="1" x14ac:dyDescent="0.2">
      <c r="B43" s="18"/>
      <c r="C43" s="260" t="s">
        <v>389</v>
      </c>
      <c r="D43" s="85"/>
      <c r="E43" s="260"/>
      <c r="F43" s="260"/>
      <c r="G43" s="260"/>
      <c r="H43" s="260"/>
      <c r="I43" s="260"/>
      <c r="J43" s="21"/>
      <c r="K43" s="30"/>
    </row>
    <row r="44" spans="2:11" ht="15.75" customHeight="1" x14ac:dyDescent="0.2">
      <c r="B44" s="18"/>
      <c r="C44" s="19" t="s">
        <v>390</v>
      </c>
      <c r="D44" s="85">
        <f>E27*((1/(D16-D10))-((1/(D16-D10))*(((1+D10)/(1+D16))^5)))</f>
        <v>4582900.3962725056</v>
      </c>
      <c r="E44" s="260"/>
      <c r="F44" s="260"/>
      <c r="G44" s="260"/>
      <c r="H44" s="260"/>
      <c r="I44" s="260"/>
      <c r="J44" s="21"/>
      <c r="K44" s="30"/>
    </row>
    <row r="45" spans="2:11" ht="15.75" customHeight="1" x14ac:dyDescent="0.2">
      <c r="B45" s="18"/>
      <c r="C45" s="19" t="s">
        <v>391</v>
      </c>
      <c r="D45" s="85">
        <f>E29*((1/(D16-D12))-((1/(D16-D12))*(((1+D12)/(1+D16))^5)))</f>
        <v>1687709.7242268345</v>
      </c>
      <c r="E45" s="335"/>
      <c r="F45" s="260"/>
      <c r="G45" s="260"/>
      <c r="H45" s="260"/>
      <c r="I45" s="260"/>
      <c r="J45" s="21"/>
      <c r="K45" s="30"/>
    </row>
    <row r="46" spans="2:11" ht="15.75" customHeight="1" x14ac:dyDescent="0.2">
      <c r="B46" s="18"/>
      <c r="C46" s="19" t="s">
        <v>392</v>
      </c>
      <c r="D46" s="85">
        <f>PV(D16,5,-D13)</f>
        <v>868535.79914762476</v>
      </c>
      <c r="E46" s="260"/>
      <c r="F46" s="260"/>
      <c r="G46" s="260"/>
      <c r="H46" s="260"/>
      <c r="I46" s="260"/>
      <c r="J46" s="21"/>
      <c r="K46" s="30"/>
    </row>
    <row r="47" spans="2:11" ht="15.75" customHeight="1" x14ac:dyDescent="0.2">
      <c r="B47" s="18"/>
      <c r="C47" s="19" t="s">
        <v>393</v>
      </c>
      <c r="D47" s="85">
        <f>PV(D16,5,-E30)</f>
        <v>887015.2842358721</v>
      </c>
      <c r="E47" s="260"/>
      <c r="F47" s="336"/>
      <c r="G47" s="260"/>
      <c r="H47" s="260"/>
      <c r="I47" s="260"/>
      <c r="J47" s="21"/>
      <c r="K47" s="30"/>
    </row>
    <row r="48" spans="2:11" ht="15.75" customHeight="1" x14ac:dyDescent="0.2">
      <c r="B48" s="18"/>
      <c r="C48" s="19"/>
      <c r="D48" s="85"/>
      <c r="E48" s="260"/>
      <c r="F48" s="260"/>
      <c r="G48" s="260"/>
      <c r="H48" s="260"/>
      <c r="I48" s="260"/>
      <c r="J48" s="21"/>
      <c r="K48" s="30"/>
    </row>
    <row r="49" spans="2:11" ht="15.75" customHeight="1" x14ac:dyDescent="0.2">
      <c r="B49" s="18"/>
      <c r="C49" s="19" t="s">
        <v>398</v>
      </c>
      <c r="D49" s="85">
        <f>D44*(1-$D$15)</f>
        <v>3620491.3130552797</v>
      </c>
      <c r="E49" s="260"/>
      <c r="F49" s="260"/>
      <c r="G49" s="260"/>
      <c r="H49" s="260"/>
      <c r="I49" s="260"/>
      <c r="J49" s="21"/>
      <c r="K49" s="30"/>
    </row>
    <row r="50" spans="2:11" ht="15.75" customHeight="1" x14ac:dyDescent="0.2">
      <c r="B50" s="18"/>
      <c r="C50" s="19" t="s">
        <v>399</v>
      </c>
      <c r="D50" s="85">
        <f>D45*(1-$D$15)</f>
        <v>1333290.6821391992</v>
      </c>
      <c r="E50" s="260"/>
      <c r="F50" s="260"/>
      <c r="G50" s="260"/>
      <c r="H50" s="260"/>
      <c r="I50" s="260"/>
      <c r="J50" s="21"/>
      <c r="K50" s="30"/>
    </row>
    <row r="51" spans="2:11" ht="15.75" customHeight="1" x14ac:dyDescent="0.2">
      <c r="B51" s="18"/>
      <c r="C51" s="19" t="s">
        <v>395</v>
      </c>
      <c r="D51" s="85">
        <f>D46*(1-$D$15)</f>
        <v>686143.28132662363</v>
      </c>
      <c r="E51" s="260"/>
      <c r="F51" s="260"/>
      <c r="G51" s="260"/>
      <c r="H51" s="260"/>
      <c r="I51" s="260"/>
      <c r="J51" s="21"/>
      <c r="K51" s="30"/>
    </row>
    <row r="52" spans="2:11" ht="15.75" customHeight="1" x14ac:dyDescent="0.2">
      <c r="B52" s="18"/>
      <c r="C52" s="19" t="s">
        <v>396</v>
      </c>
      <c r="D52" s="85"/>
      <c r="E52" s="260"/>
      <c r="F52" s="260"/>
      <c r="G52" s="260"/>
      <c r="H52" s="260"/>
      <c r="I52" s="260"/>
      <c r="J52" s="21"/>
      <c r="K52" s="30"/>
    </row>
    <row r="53" spans="2:11" ht="15.75" customHeight="1" x14ac:dyDescent="0.2">
      <c r="B53" s="18"/>
      <c r="C53" s="19" t="s">
        <v>397</v>
      </c>
      <c r="D53" s="85">
        <f>D15*D47</f>
        <v>186273.20968953313</v>
      </c>
      <c r="E53" s="260"/>
      <c r="F53" s="260"/>
      <c r="G53" s="260"/>
      <c r="H53" s="260"/>
      <c r="I53" s="260"/>
      <c r="J53" s="21"/>
      <c r="K53" s="30"/>
    </row>
    <row r="54" spans="2:11" ht="15.75" customHeight="1" x14ac:dyDescent="0.25">
      <c r="B54" s="18"/>
      <c r="C54" s="19"/>
      <c r="D54" s="86"/>
      <c r="E54" s="260"/>
      <c r="F54" s="260"/>
      <c r="G54" s="260"/>
      <c r="H54" s="260"/>
      <c r="I54" s="260"/>
      <c r="J54" s="21"/>
      <c r="K54" s="30"/>
    </row>
    <row r="55" spans="2:11" ht="15.75" customHeight="1" x14ac:dyDescent="0.25">
      <c r="B55" s="18"/>
      <c r="C55" s="19" t="s">
        <v>20</v>
      </c>
      <c r="D55" s="129">
        <f>D39+D49-D50-D51+D53+(I37/(1+D16)^5)</f>
        <v>506020.82489070162</v>
      </c>
      <c r="E55" s="260"/>
      <c r="F55" s="260"/>
      <c r="G55" s="260"/>
      <c r="H55" s="260"/>
      <c r="I55" s="260"/>
      <c r="J55" s="21"/>
      <c r="K55" s="30"/>
    </row>
    <row r="56" spans="2:11" ht="15.75" customHeight="1" thickBot="1" x14ac:dyDescent="0.25">
      <c r="B56" s="23"/>
      <c r="C56" s="53"/>
      <c r="D56" s="53"/>
      <c r="E56" s="53"/>
      <c r="F56" s="53"/>
      <c r="G56" s="53"/>
      <c r="H56" s="53"/>
      <c r="I56" s="53"/>
      <c r="J56" s="25"/>
      <c r="K56" s="30"/>
    </row>
    <row r="57" spans="2:11" ht="15.75" customHeight="1" x14ac:dyDescent="0.2">
      <c r="B57" s="14"/>
      <c r="C57" s="14"/>
      <c r="D57" s="14"/>
      <c r="E57" s="14"/>
      <c r="F57" s="14"/>
      <c r="G57" s="14"/>
      <c r="H57" s="14"/>
    </row>
    <row r="58" spans="2:11" ht="15.75" customHeight="1" x14ac:dyDescent="0.2"/>
    <row r="59" spans="2:11" ht="15.75" customHeight="1" x14ac:dyDescent="0.2">
      <c r="D59" s="26"/>
    </row>
    <row r="60" spans="2:11" ht="15.75" customHeight="1" x14ac:dyDescent="0.2"/>
    <row r="61" spans="2:11" ht="15.75" customHeight="1" x14ac:dyDescent="0.2"/>
    <row r="62" spans="2:11" ht="15.75" customHeight="1" x14ac:dyDescent="0.2"/>
    <row r="63" spans="2:11" ht="15.75" customHeight="1" x14ac:dyDescent="0.2"/>
    <row r="64" spans="2:11" ht="15.75" customHeight="1" x14ac:dyDescent="0.2"/>
    <row r="65" ht="15.75" customHeight="1" x14ac:dyDescent="0.2"/>
    <row r="66" ht="15.75" customHeight="1" x14ac:dyDescent="0.2"/>
    <row r="67" ht="15.75" customHeight="1" x14ac:dyDescent="0.2"/>
  </sheetData>
  <phoneticPr fontId="0" type="noConversion"/>
  <pageMargins left="0.75" right="0.75" top="1" bottom="1" header="0.5" footer="0.5"/>
  <pageSetup scale="66" orientation="portrait" horizontalDpi="360" verticalDpi="36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9" width="19.42578125" customWidth="1"/>
    <col min="10" max="10" width="3.140625" customWidth="1"/>
    <col min="13" max="13" width="9.14062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303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99</v>
      </c>
      <c r="D7" s="89">
        <v>73000</v>
      </c>
      <c r="E7" s="9"/>
      <c r="G7" s="57"/>
    </row>
    <row r="8" spans="2:7" ht="15.75" customHeight="1" x14ac:dyDescent="0.2">
      <c r="B8" s="8"/>
      <c r="C8" s="13" t="s">
        <v>100</v>
      </c>
      <c r="D8" s="89">
        <v>79000</v>
      </c>
      <c r="E8" s="9"/>
      <c r="G8" s="57"/>
    </row>
    <row r="9" spans="2:7" ht="15.75" customHeight="1" x14ac:dyDescent="0.2">
      <c r="B9" s="8"/>
      <c r="C9" s="13" t="s">
        <v>101</v>
      </c>
      <c r="D9" s="89">
        <v>84000</v>
      </c>
      <c r="E9" s="9"/>
      <c r="G9" s="57"/>
    </row>
    <row r="10" spans="2:7" ht="15.75" customHeight="1" x14ac:dyDescent="0.2">
      <c r="B10" s="8"/>
      <c r="C10" s="13" t="s">
        <v>102</v>
      </c>
      <c r="D10" s="89">
        <v>82000</v>
      </c>
      <c r="E10" s="9"/>
      <c r="G10" s="57"/>
    </row>
    <row r="11" spans="2:7" ht="15.75" customHeight="1" x14ac:dyDescent="0.2">
      <c r="B11" s="8"/>
      <c r="C11" s="13" t="s">
        <v>103</v>
      </c>
      <c r="D11" s="89">
        <v>68000</v>
      </c>
      <c r="E11" s="9"/>
      <c r="G11" s="57"/>
    </row>
    <row r="12" spans="2:7" ht="15.75" customHeight="1" x14ac:dyDescent="0.2">
      <c r="B12" s="8"/>
      <c r="C12" s="13" t="s">
        <v>69</v>
      </c>
      <c r="D12" s="83">
        <v>1500000</v>
      </c>
      <c r="E12" s="9"/>
      <c r="G12" s="57"/>
    </row>
    <row r="13" spans="2:7" ht="15.75" customHeight="1" x14ac:dyDescent="0.2">
      <c r="B13" s="8"/>
      <c r="C13" s="13" t="s">
        <v>98</v>
      </c>
      <c r="D13" s="151">
        <v>0.15</v>
      </c>
      <c r="E13" s="9"/>
    </row>
    <row r="14" spans="2:7" ht="15.75" customHeight="1" x14ac:dyDescent="0.2">
      <c r="B14" s="8"/>
      <c r="C14" s="13" t="s">
        <v>78</v>
      </c>
      <c r="D14" s="83">
        <v>3400000</v>
      </c>
      <c r="E14" s="9"/>
    </row>
    <row r="15" spans="2:7" ht="15.75" customHeight="1" x14ac:dyDescent="0.2">
      <c r="B15" s="8"/>
      <c r="C15" s="13" t="s">
        <v>104</v>
      </c>
      <c r="D15" s="152">
        <v>145</v>
      </c>
      <c r="E15" s="9"/>
    </row>
    <row r="16" spans="2:7" ht="15.75" customHeight="1" x14ac:dyDescent="0.2">
      <c r="B16" s="8"/>
      <c r="C16" s="13" t="s">
        <v>105</v>
      </c>
      <c r="D16" s="83">
        <v>325</v>
      </c>
      <c r="E16" s="9"/>
    </row>
    <row r="17" spans="2:10" ht="15.75" customHeight="1" x14ac:dyDescent="0.2">
      <c r="B17" s="8"/>
      <c r="C17" s="13" t="s">
        <v>106</v>
      </c>
      <c r="D17" s="83">
        <v>18500000</v>
      </c>
      <c r="E17" s="9"/>
    </row>
    <row r="18" spans="2:10" ht="15.75" customHeight="1" x14ac:dyDescent="0.2">
      <c r="B18" s="8"/>
      <c r="C18" s="13" t="s">
        <v>107</v>
      </c>
      <c r="D18" s="82">
        <v>0.2</v>
      </c>
      <c r="E18" s="9"/>
    </row>
    <row r="19" spans="2:10" ht="15.75" customHeight="1" x14ac:dyDescent="0.2">
      <c r="B19" s="8"/>
      <c r="C19" s="13" t="s">
        <v>6</v>
      </c>
      <c r="D19" s="82">
        <v>0.23</v>
      </c>
      <c r="E19" s="9"/>
    </row>
    <row r="20" spans="2:10" ht="15.75" customHeight="1" x14ac:dyDescent="0.2">
      <c r="B20" s="8"/>
      <c r="C20" s="13" t="s">
        <v>19</v>
      </c>
      <c r="D20" s="151">
        <v>0.18</v>
      </c>
      <c r="E20" s="9"/>
    </row>
    <row r="21" spans="2:10" ht="15.75" customHeight="1" x14ac:dyDescent="0.2">
      <c r="B21" s="8"/>
      <c r="C21" s="13" t="s">
        <v>436</v>
      </c>
      <c r="D21" s="153">
        <v>0.1429</v>
      </c>
      <c r="E21" s="9"/>
    </row>
    <row r="22" spans="2:10" ht="15.75" customHeight="1" x14ac:dyDescent="0.2">
      <c r="B22" s="8"/>
      <c r="C22" s="13"/>
      <c r="D22" s="153">
        <v>0.24490000000000001</v>
      </c>
      <c r="E22" s="9"/>
    </row>
    <row r="23" spans="2:10" ht="15.75" customHeight="1" x14ac:dyDescent="0.2">
      <c r="B23" s="8"/>
      <c r="C23" s="13"/>
      <c r="D23" s="153">
        <v>0.1749</v>
      </c>
      <c r="E23" s="9"/>
    </row>
    <row r="24" spans="2:10" ht="15.75" customHeight="1" x14ac:dyDescent="0.2">
      <c r="B24" s="8"/>
      <c r="C24" s="13"/>
      <c r="D24" s="153">
        <v>0.1249</v>
      </c>
      <c r="E24" s="9"/>
    </row>
    <row r="25" spans="2:10" ht="15.75" customHeight="1" x14ac:dyDescent="0.2">
      <c r="B25" s="8"/>
      <c r="C25" s="13"/>
      <c r="D25" s="153">
        <v>8.9300000000000004E-2</v>
      </c>
      <c r="E25" s="9"/>
    </row>
    <row r="26" spans="2:10" ht="15.75" customHeight="1" thickBot="1" x14ac:dyDescent="0.25">
      <c r="B26" s="10"/>
      <c r="C26" s="65"/>
      <c r="D26" s="65"/>
      <c r="E26" s="12"/>
    </row>
    <row r="27" spans="2:10" ht="15.75" customHeight="1" x14ac:dyDescent="0.2">
      <c r="B27" s="64"/>
      <c r="J27" s="64"/>
    </row>
    <row r="28" spans="2:10" ht="15.75" customHeight="1" x14ac:dyDescent="0.2">
      <c r="C28" s="2" t="s">
        <v>2</v>
      </c>
    </row>
    <row r="29" spans="2:10" ht="15.75" customHeight="1" thickBot="1" x14ac:dyDescent="0.25"/>
    <row r="30" spans="2:10" ht="15.75" customHeight="1" x14ac:dyDescent="0.2">
      <c r="B30" s="68"/>
      <c r="C30" s="69"/>
      <c r="D30" s="69"/>
      <c r="E30" s="69"/>
      <c r="F30" s="69"/>
      <c r="G30" s="69"/>
      <c r="H30" s="69"/>
      <c r="I30" s="69"/>
      <c r="J30" s="154"/>
    </row>
    <row r="31" spans="2:10" ht="15.75" customHeight="1" x14ac:dyDescent="0.2">
      <c r="B31" s="70"/>
      <c r="C31" s="19"/>
      <c r="D31" s="19"/>
      <c r="E31" s="19"/>
      <c r="F31" s="19"/>
      <c r="G31" s="19"/>
      <c r="H31" s="19"/>
      <c r="I31" s="19"/>
      <c r="J31" s="22"/>
    </row>
    <row r="32" spans="2:10" ht="15.75" customHeight="1" x14ac:dyDescent="0.2">
      <c r="B32" s="70"/>
      <c r="C32" s="156" t="s">
        <v>23</v>
      </c>
      <c r="D32" s="155">
        <v>0</v>
      </c>
      <c r="E32" s="155">
        <v>1</v>
      </c>
      <c r="F32" s="155">
        <v>2</v>
      </c>
      <c r="G32" s="155">
        <v>3</v>
      </c>
      <c r="H32" s="155">
        <v>4</v>
      </c>
      <c r="I32" s="155">
        <v>5</v>
      </c>
      <c r="J32" s="22"/>
    </row>
    <row r="33" spans="2:13" ht="15.75" customHeight="1" x14ac:dyDescent="0.2">
      <c r="B33" s="70"/>
      <c r="C33" s="19" t="s">
        <v>108</v>
      </c>
      <c r="D33" s="136"/>
      <c r="E33" s="78">
        <f>D17-E38</f>
        <v>15856350</v>
      </c>
      <c r="F33" s="78">
        <f>E33-F38</f>
        <v>11325700</v>
      </c>
      <c r="G33" s="78">
        <f>F33-G38</f>
        <v>8090050</v>
      </c>
      <c r="H33" s="78">
        <f>G33-H38</f>
        <v>5779400</v>
      </c>
      <c r="I33" s="78">
        <f>H33-I38</f>
        <v>4127350</v>
      </c>
      <c r="J33" s="22"/>
    </row>
    <row r="34" spans="2:13" ht="15.75" customHeight="1" x14ac:dyDescent="0.2">
      <c r="B34" s="70"/>
      <c r="C34" s="19"/>
      <c r="D34" s="136"/>
      <c r="E34" s="78"/>
      <c r="F34" s="78"/>
      <c r="G34" s="78"/>
      <c r="H34" s="78"/>
      <c r="I34" s="78"/>
      <c r="J34" s="22"/>
    </row>
    <row r="35" spans="2:13" ht="15.75" customHeight="1" x14ac:dyDescent="0.2">
      <c r="B35" s="70"/>
      <c r="C35" s="19" t="s">
        <v>10</v>
      </c>
      <c r="D35" s="136"/>
      <c r="E35" s="78">
        <f>D7*D16</f>
        <v>23725000</v>
      </c>
      <c r="F35" s="78">
        <f>D8*D16</f>
        <v>25675000</v>
      </c>
      <c r="G35" s="78">
        <f>D9*D16</f>
        <v>27300000</v>
      </c>
      <c r="H35" s="78">
        <f>D10*D16</f>
        <v>26650000</v>
      </c>
      <c r="I35" s="78">
        <f>D11*D16</f>
        <v>22100000</v>
      </c>
      <c r="J35" s="22"/>
    </row>
    <row r="36" spans="2:13" ht="15.75" customHeight="1" x14ac:dyDescent="0.2">
      <c r="B36" s="70"/>
      <c r="C36" s="19" t="s">
        <v>77</v>
      </c>
      <c r="D36" s="136"/>
      <c r="E36" s="79">
        <f>D7*D15</f>
        <v>10585000</v>
      </c>
      <c r="F36" s="79">
        <f>D8*D15</f>
        <v>11455000</v>
      </c>
      <c r="G36" s="79">
        <f>D9*D15</f>
        <v>12180000</v>
      </c>
      <c r="H36" s="79">
        <f>D10*D15</f>
        <v>11890000</v>
      </c>
      <c r="I36" s="79">
        <f>D11*D15</f>
        <v>9860000</v>
      </c>
      <c r="J36" s="22"/>
    </row>
    <row r="37" spans="2:13" ht="15.75" customHeight="1" x14ac:dyDescent="0.2">
      <c r="B37" s="70"/>
      <c r="C37" s="19" t="s">
        <v>78</v>
      </c>
      <c r="D37" s="136"/>
      <c r="E37" s="79">
        <f>$D$14</f>
        <v>3400000</v>
      </c>
      <c r="F37" s="79">
        <f>$D$14</f>
        <v>3400000</v>
      </c>
      <c r="G37" s="79">
        <f>$D$14</f>
        <v>3400000</v>
      </c>
      <c r="H37" s="79">
        <f>$D$14</f>
        <v>3400000</v>
      </c>
      <c r="I37" s="79">
        <f>$D$14</f>
        <v>3400000</v>
      </c>
      <c r="J37" s="22"/>
    </row>
    <row r="38" spans="2:13" ht="15.75" customHeight="1" x14ac:dyDescent="0.2">
      <c r="B38" s="70"/>
      <c r="C38" s="19" t="s">
        <v>5</v>
      </c>
      <c r="D38" s="136"/>
      <c r="E38" s="81">
        <f>D17*D21</f>
        <v>2643650</v>
      </c>
      <c r="F38" s="81">
        <f>D17*D22</f>
        <v>4530650</v>
      </c>
      <c r="G38" s="81">
        <f>D17*D23</f>
        <v>3235650</v>
      </c>
      <c r="H38" s="81">
        <f>D17*D24</f>
        <v>2310650</v>
      </c>
      <c r="I38" s="81">
        <f>D17*D25</f>
        <v>1652050</v>
      </c>
      <c r="J38" s="22"/>
    </row>
    <row r="39" spans="2:13" ht="15.75" customHeight="1" x14ac:dyDescent="0.2">
      <c r="B39" s="70"/>
      <c r="C39" s="19" t="s">
        <v>109</v>
      </c>
      <c r="D39" s="136"/>
      <c r="E39" s="79">
        <f>E35-E36-E37-E38</f>
        <v>7096350</v>
      </c>
      <c r="F39" s="79">
        <f>F35-F36-F37-F38</f>
        <v>6289350</v>
      </c>
      <c r="G39" s="79">
        <f>G35-G36-G37-G38</f>
        <v>8484350</v>
      </c>
      <c r="H39" s="79">
        <f>H35-H36-H37-H38</f>
        <v>9049350</v>
      </c>
      <c r="I39" s="79">
        <f>I35-I36-I37-I38</f>
        <v>7187950</v>
      </c>
      <c r="J39" s="22"/>
    </row>
    <row r="40" spans="2:13" ht="15.75" customHeight="1" x14ac:dyDescent="0.2">
      <c r="B40" s="70"/>
      <c r="C40" s="19" t="s">
        <v>76</v>
      </c>
      <c r="D40" s="136"/>
      <c r="E40" s="81">
        <f>E39*$D$19</f>
        <v>1632160.5</v>
      </c>
      <c r="F40" s="81">
        <f>F39*$D$19</f>
        <v>1446550.5</v>
      </c>
      <c r="G40" s="81">
        <f>G39*$D$19</f>
        <v>1951400.5</v>
      </c>
      <c r="H40" s="81">
        <f>H39*$D$19</f>
        <v>2081350.5</v>
      </c>
      <c r="I40" s="81">
        <f>I39*$D$19</f>
        <v>1653228.5</v>
      </c>
      <c r="J40" s="22"/>
    </row>
    <row r="41" spans="2:13" ht="15.75" customHeight="1" x14ac:dyDescent="0.2">
      <c r="B41" s="70"/>
      <c r="C41" s="19" t="s">
        <v>110</v>
      </c>
      <c r="D41" s="136"/>
      <c r="E41" s="79">
        <f>E39-E40</f>
        <v>5464189.5</v>
      </c>
      <c r="F41" s="79">
        <f>F39-F40</f>
        <v>4842799.5</v>
      </c>
      <c r="G41" s="79">
        <f>G39-G40</f>
        <v>6532949.5</v>
      </c>
      <c r="H41" s="79">
        <f>H39-H40</f>
        <v>6967999.5</v>
      </c>
      <c r="I41" s="79">
        <f>I39-I40</f>
        <v>5534721.5</v>
      </c>
      <c r="J41" s="22"/>
    </row>
    <row r="42" spans="2:13" ht="15.75" customHeight="1" x14ac:dyDescent="0.2">
      <c r="B42" s="70"/>
      <c r="C42" s="19" t="s">
        <v>5</v>
      </c>
      <c r="D42" s="136"/>
      <c r="E42" s="79">
        <f>E38</f>
        <v>2643650</v>
      </c>
      <c r="F42" s="79">
        <f>F38</f>
        <v>4530650</v>
      </c>
      <c r="G42" s="79">
        <f>G38</f>
        <v>3235650</v>
      </c>
      <c r="H42" s="79">
        <f>H38</f>
        <v>2310650</v>
      </c>
      <c r="I42" s="79">
        <f>I38</f>
        <v>1652050</v>
      </c>
      <c r="J42" s="22"/>
    </row>
    <row r="43" spans="2:13" ht="15.75" customHeight="1" thickBot="1" x14ac:dyDescent="0.25">
      <c r="B43" s="70"/>
      <c r="C43" s="19" t="s">
        <v>111</v>
      </c>
      <c r="D43" s="136"/>
      <c r="E43" s="125">
        <f>E41+E42</f>
        <v>8107839.5</v>
      </c>
      <c r="F43" s="125">
        <f>F41+F42</f>
        <v>9373449.5</v>
      </c>
      <c r="G43" s="125">
        <f>G41+G42</f>
        <v>9768599.5</v>
      </c>
      <c r="H43" s="125">
        <f>H41+H42</f>
        <v>9278649.5</v>
      </c>
      <c r="I43" s="125">
        <f>I41+I42</f>
        <v>7186771.5</v>
      </c>
      <c r="J43" s="22"/>
    </row>
    <row r="44" spans="2:13" ht="15.75" customHeight="1" thickTop="1" x14ac:dyDescent="0.2">
      <c r="B44" s="70"/>
      <c r="C44" s="19"/>
      <c r="D44" s="136"/>
      <c r="E44" s="78"/>
      <c r="F44" s="78"/>
      <c r="G44" s="78"/>
      <c r="H44" s="78"/>
      <c r="I44" s="78"/>
      <c r="J44" s="22"/>
    </row>
    <row r="45" spans="2:13" ht="15.75" customHeight="1" x14ac:dyDescent="0.2">
      <c r="B45" s="70"/>
      <c r="C45" s="157" t="s">
        <v>112</v>
      </c>
      <c r="D45" s="140"/>
      <c r="E45" s="140"/>
      <c r="F45" s="140"/>
      <c r="G45" s="140"/>
      <c r="H45" s="140"/>
      <c r="I45" s="140"/>
      <c r="J45" s="22"/>
      <c r="K45" s="30"/>
      <c r="L45" s="30"/>
      <c r="M45" s="30"/>
    </row>
    <row r="46" spans="2:13" ht="15.75" customHeight="1" x14ac:dyDescent="0.2">
      <c r="B46" s="70"/>
      <c r="C46" s="19" t="s">
        <v>111</v>
      </c>
      <c r="D46" s="95"/>
      <c r="E46" s="95">
        <f>E43</f>
        <v>8107839.5</v>
      </c>
      <c r="F46" s="95">
        <f>F43</f>
        <v>9373449.5</v>
      </c>
      <c r="G46" s="95">
        <f>G43</f>
        <v>9768599.5</v>
      </c>
      <c r="H46" s="95">
        <f>H43</f>
        <v>9278649.5</v>
      </c>
      <c r="I46" s="95">
        <f>I43</f>
        <v>7186771.5</v>
      </c>
      <c r="J46" s="22"/>
      <c r="K46" s="30"/>
      <c r="L46" s="30"/>
      <c r="M46" s="30"/>
    </row>
    <row r="47" spans="2:13" ht="15.75" customHeight="1" x14ac:dyDescent="0.2">
      <c r="B47" s="70"/>
      <c r="C47" s="19" t="s">
        <v>113</v>
      </c>
      <c r="D47" s="95">
        <f>-D12</f>
        <v>-1500000</v>
      </c>
      <c r="E47" s="138">
        <f>$D$13*(E35-F35)</f>
        <v>-292500</v>
      </c>
      <c r="F47" s="138">
        <f>$D$13*(F35-G35)</f>
        <v>-243750</v>
      </c>
      <c r="G47" s="138">
        <f>$D$13*(G35-H35)</f>
        <v>97500</v>
      </c>
      <c r="H47" s="138">
        <f>$D$13*(H35-I35)</f>
        <v>682500</v>
      </c>
      <c r="I47" s="138">
        <f>-(D47+E47+F47+G47+H47)</f>
        <v>1256250</v>
      </c>
      <c r="J47" s="22"/>
      <c r="K47" s="30"/>
      <c r="L47" s="30"/>
      <c r="M47" s="30"/>
    </row>
    <row r="48" spans="2:13" ht="15.75" customHeight="1" x14ac:dyDescent="0.2">
      <c r="B48" s="70"/>
      <c r="C48" s="19" t="s">
        <v>114</v>
      </c>
      <c r="D48" s="138">
        <f>-D17</f>
        <v>-18500000</v>
      </c>
      <c r="E48" s="138">
        <v>0</v>
      </c>
      <c r="F48" s="138">
        <v>0</v>
      </c>
      <c r="G48" s="138">
        <v>0</v>
      </c>
      <c r="H48" s="138">
        <v>0</v>
      </c>
      <c r="I48" s="138">
        <f>(D17*D18)+((I33-(D17*D18))*D19)</f>
        <v>3798290.5</v>
      </c>
      <c r="J48" s="22"/>
      <c r="K48" s="30"/>
      <c r="L48" s="30"/>
      <c r="M48" s="30"/>
    </row>
    <row r="49" spans="2:13" ht="15.75" customHeight="1" thickBot="1" x14ac:dyDescent="0.25">
      <c r="B49" s="70"/>
      <c r="C49" s="19" t="s">
        <v>115</v>
      </c>
      <c r="D49" s="158">
        <f t="shared" ref="D49:I49" si="0">D46+D47+D48</f>
        <v>-20000000</v>
      </c>
      <c r="E49" s="159">
        <f t="shared" si="0"/>
        <v>7815339.5</v>
      </c>
      <c r="F49" s="159">
        <f t="shared" si="0"/>
        <v>9129699.5</v>
      </c>
      <c r="G49" s="159">
        <f t="shared" si="0"/>
        <v>9866099.5</v>
      </c>
      <c r="H49" s="159">
        <f t="shared" si="0"/>
        <v>9961149.5</v>
      </c>
      <c r="I49" s="159">
        <f t="shared" si="0"/>
        <v>12241312</v>
      </c>
      <c r="J49" s="22"/>
      <c r="K49" s="30"/>
      <c r="L49" s="30"/>
      <c r="M49" s="30"/>
    </row>
    <row r="50" spans="2:13" ht="15.75" customHeight="1" thickTop="1" x14ac:dyDescent="0.2">
      <c r="B50" s="70"/>
      <c r="C50" s="19"/>
      <c r="D50" s="140"/>
      <c r="E50" s="140"/>
      <c r="F50" s="140"/>
      <c r="G50" s="140"/>
      <c r="H50" s="140"/>
      <c r="I50" s="140"/>
      <c r="J50" s="22"/>
      <c r="K50" s="30"/>
      <c r="L50" s="30"/>
      <c r="M50" s="30"/>
    </row>
    <row r="51" spans="2:13" ht="15.75" customHeight="1" x14ac:dyDescent="0.25">
      <c r="B51" s="70"/>
      <c r="C51" s="19" t="s">
        <v>116</v>
      </c>
      <c r="D51" s="137">
        <f>NPV(D20,E49:I49)+D49</f>
        <v>9673430.2355020754</v>
      </c>
      <c r="E51" s="146"/>
      <c r="F51" s="146"/>
      <c r="G51" s="146"/>
      <c r="H51" s="146"/>
      <c r="I51" s="146"/>
      <c r="J51" s="22"/>
      <c r="K51" s="30"/>
      <c r="L51" s="30"/>
      <c r="M51" s="30"/>
    </row>
    <row r="52" spans="2:13" ht="15.75" customHeight="1" x14ac:dyDescent="0.25">
      <c r="B52" s="70"/>
      <c r="C52" s="19" t="s">
        <v>117</v>
      </c>
      <c r="D52" s="161">
        <f>IRR(D49:I49)</f>
        <v>0.36387083909623286</v>
      </c>
      <c r="E52" s="146"/>
      <c r="F52" s="146"/>
      <c r="G52" s="146"/>
      <c r="H52" s="146"/>
      <c r="I52" s="146"/>
      <c r="J52" s="22"/>
      <c r="K52" s="30"/>
      <c r="L52" s="30"/>
      <c r="M52" s="30"/>
    </row>
    <row r="53" spans="2:13" ht="15.75" customHeight="1" thickBot="1" x14ac:dyDescent="0.25">
      <c r="B53" s="71"/>
      <c r="C53" s="53"/>
      <c r="D53" s="53"/>
      <c r="E53" s="53"/>
      <c r="F53" s="53"/>
      <c r="G53" s="53"/>
      <c r="H53" s="53"/>
      <c r="I53" s="53"/>
      <c r="J53" s="51"/>
      <c r="K53" s="30"/>
      <c r="L53" s="30"/>
      <c r="M53" s="30"/>
    </row>
    <row r="54" spans="2:13" ht="15.75" customHeight="1" x14ac:dyDescent="0.2">
      <c r="B54" s="14"/>
      <c r="J54" s="14"/>
      <c r="K54" s="14"/>
      <c r="L54" s="14"/>
      <c r="M54" s="14"/>
    </row>
    <row r="55" spans="2:13" ht="15.75" customHeight="1" x14ac:dyDescent="0.2">
      <c r="D55" s="26"/>
      <c r="E55" s="26"/>
      <c r="F55" s="26"/>
      <c r="G55" s="26"/>
      <c r="H55" s="26"/>
      <c r="I55" s="26"/>
    </row>
    <row r="56" spans="2:13" ht="15.75" customHeight="1" x14ac:dyDescent="0.2"/>
    <row r="57" spans="2:13" ht="15.75" customHeight="1" x14ac:dyDescent="0.2"/>
    <row r="58" spans="2:13" ht="15.75" customHeight="1" x14ac:dyDescent="0.2"/>
    <row r="59" spans="2:13" ht="15.75" customHeight="1" x14ac:dyDescent="0.2"/>
    <row r="60" spans="2:13" ht="15.75" customHeight="1" x14ac:dyDescent="0.2"/>
    <row r="61" spans="2:13" ht="15.75" customHeight="1" x14ac:dyDescent="0.2"/>
    <row r="62" spans="2:13" ht="15.75" customHeight="1" x14ac:dyDescent="0.2"/>
    <row r="63" spans="2:13" ht="15.75" customHeight="1" x14ac:dyDescent="0.2"/>
    <row r="64" spans="2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</sheetData>
  <phoneticPr fontId="0" type="noConversion"/>
  <pageMargins left="0.75" right="0.75" top="1" bottom="1" header="0.5" footer="0.5"/>
  <pageSetup scale="56" orientation="portrait" horizontalDpi="360" verticalDpi="36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9.42578125" customWidth="1"/>
    <col min="5" max="5" width="3.140625" customWidth="1"/>
    <col min="8" max="8" width="9.14062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306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120</v>
      </c>
      <c r="D7" s="83">
        <v>645000</v>
      </c>
      <c r="E7" s="9"/>
      <c r="G7" s="57"/>
    </row>
    <row r="8" spans="2:7" ht="15.75" customHeight="1" x14ac:dyDescent="0.2">
      <c r="B8" s="8"/>
      <c r="C8" s="13" t="s">
        <v>69</v>
      </c>
      <c r="D8" s="83">
        <v>55000</v>
      </c>
      <c r="E8" s="9"/>
    </row>
    <row r="9" spans="2:7" ht="15.75" customHeight="1" x14ac:dyDescent="0.2">
      <c r="B9" s="8"/>
      <c r="C9" s="13" t="s">
        <v>6</v>
      </c>
      <c r="D9" s="82">
        <v>0.21</v>
      </c>
      <c r="E9" s="9"/>
    </row>
    <row r="10" spans="2:7" ht="15.75" customHeight="1" x14ac:dyDescent="0.2">
      <c r="B10" s="8"/>
      <c r="C10" s="13" t="s">
        <v>31</v>
      </c>
      <c r="D10" s="82">
        <v>0.12</v>
      </c>
      <c r="E10" s="9"/>
    </row>
    <row r="11" spans="2:7" ht="15.75" customHeight="1" x14ac:dyDescent="0.2">
      <c r="B11" s="8"/>
      <c r="C11" s="13" t="s">
        <v>50</v>
      </c>
      <c r="D11" s="83">
        <v>50000</v>
      </c>
      <c r="E11" s="9"/>
    </row>
    <row r="12" spans="2:7" ht="15.75" customHeight="1" x14ac:dyDescent="0.2">
      <c r="B12" s="8"/>
      <c r="C12" s="13" t="s">
        <v>435</v>
      </c>
      <c r="D12" s="340">
        <v>0.33329999999999999</v>
      </c>
      <c r="E12" s="9"/>
    </row>
    <row r="13" spans="2:7" ht="15.75" customHeight="1" x14ac:dyDescent="0.2">
      <c r="B13" s="8"/>
      <c r="C13" s="13"/>
      <c r="D13" s="340">
        <v>0.44450000000000001</v>
      </c>
      <c r="E13" s="9"/>
    </row>
    <row r="14" spans="2:7" ht="15.75" customHeight="1" x14ac:dyDescent="0.2">
      <c r="B14" s="8"/>
      <c r="C14" s="13"/>
      <c r="D14" s="340">
        <v>0.14810000000000001</v>
      </c>
      <c r="E14" s="9"/>
    </row>
    <row r="15" spans="2:7" ht="15.75" customHeight="1" x14ac:dyDescent="0.2">
      <c r="B15" s="8"/>
      <c r="C15" s="13"/>
      <c r="D15" s="340">
        <v>7.4099999999999999E-2</v>
      </c>
      <c r="E15" s="9"/>
    </row>
    <row r="16" spans="2:7" ht="15.75" customHeight="1" thickBot="1" x14ac:dyDescent="0.25">
      <c r="B16" s="10"/>
      <c r="C16" s="65"/>
      <c r="D16" s="65"/>
      <c r="E16" s="12"/>
    </row>
    <row r="17" spans="2:8" ht="15.75" customHeight="1" x14ac:dyDescent="0.2">
      <c r="B17" s="64"/>
      <c r="E17" s="64"/>
    </row>
    <row r="18" spans="2:8" ht="15.75" customHeight="1" x14ac:dyDescent="0.2">
      <c r="C18" s="2" t="s">
        <v>2</v>
      </c>
    </row>
    <row r="19" spans="2:8" ht="15.75" customHeight="1" thickBot="1" x14ac:dyDescent="0.25"/>
    <row r="20" spans="2:8" ht="15.75" customHeight="1" x14ac:dyDescent="0.2">
      <c r="B20" s="15"/>
      <c r="C20" s="16"/>
      <c r="D20" s="16"/>
      <c r="E20" s="17"/>
    </row>
    <row r="21" spans="2:8" ht="15.75" customHeight="1" x14ac:dyDescent="0.2">
      <c r="B21" s="18"/>
      <c r="C21" s="19" t="s">
        <v>27</v>
      </c>
      <c r="D21" s="140">
        <f>D11*(1-D9)</f>
        <v>39500</v>
      </c>
      <c r="E21" s="21"/>
      <c r="F21" s="30"/>
      <c r="G21" s="30"/>
      <c r="H21" s="30"/>
    </row>
    <row r="22" spans="2:8" ht="15.75" customHeight="1" x14ac:dyDescent="0.2">
      <c r="B22" s="18"/>
      <c r="C22" s="19" t="s">
        <v>417</v>
      </c>
      <c r="D22" s="140">
        <f>$D$7*D12</f>
        <v>214978.5</v>
      </c>
      <c r="E22" s="21"/>
      <c r="F22" s="30"/>
      <c r="G22" s="30"/>
      <c r="H22" s="30"/>
    </row>
    <row r="23" spans="2:8" ht="15.75" customHeight="1" x14ac:dyDescent="0.2">
      <c r="B23" s="18"/>
      <c r="C23" s="19" t="s">
        <v>418</v>
      </c>
      <c r="D23" s="140">
        <f t="shared" ref="D23:D25" si="0">$D$7*D13</f>
        <v>286702.5</v>
      </c>
      <c r="E23" s="21"/>
      <c r="F23" s="30"/>
      <c r="G23" s="30"/>
      <c r="H23" s="30"/>
    </row>
    <row r="24" spans="2:8" ht="15.75" customHeight="1" x14ac:dyDescent="0.2">
      <c r="B24" s="18"/>
      <c r="C24" s="19" t="s">
        <v>419</v>
      </c>
      <c r="D24" s="140">
        <f t="shared" si="0"/>
        <v>95524.5</v>
      </c>
      <c r="E24" s="21"/>
      <c r="F24" s="30"/>
      <c r="G24" s="30"/>
      <c r="H24" s="30"/>
    </row>
    <row r="25" spans="2:8" ht="15.75" customHeight="1" x14ac:dyDescent="0.2">
      <c r="B25" s="18"/>
      <c r="C25" s="19" t="s">
        <v>420</v>
      </c>
      <c r="D25" s="140">
        <f t="shared" si="0"/>
        <v>47794.5</v>
      </c>
      <c r="E25" s="21"/>
      <c r="F25" s="30"/>
      <c r="G25" s="30"/>
      <c r="H25" s="30"/>
    </row>
    <row r="26" spans="2:8" ht="15.75" customHeight="1" x14ac:dyDescent="0.2">
      <c r="B26" s="18"/>
      <c r="C26" s="19" t="s">
        <v>153</v>
      </c>
      <c r="D26" s="140">
        <f>$D$9*($D$7*D12)</f>
        <v>45145.485000000001</v>
      </c>
      <c r="E26" s="21"/>
      <c r="F26" s="30"/>
      <c r="G26" s="30"/>
      <c r="H26" s="30"/>
    </row>
    <row r="27" spans="2:8" ht="15.75" customHeight="1" x14ac:dyDescent="0.2">
      <c r="B27" s="18"/>
      <c r="C27" s="19" t="s">
        <v>154</v>
      </c>
      <c r="D27" s="140">
        <f>$D$9*($D$7*D13)</f>
        <v>60207.524999999994</v>
      </c>
      <c r="E27" s="21"/>
      <c r="F27" s="30"/>
      <c r="G27" s="30"/>
      <c r="H27" s="30"/>
    </row>
    <row r="28" spans="2:8" ht="15.75" customHeight="1" x14ac:dyDescent="0.2">
      <c r="B28" s="18"/>
      <c r="C28" s="19" t="s">
        <v>155</v>
      </c>
      <c r="D28" s="140">
        <f>$D$9*($D$7*D14)</f>
        <v>20060.145</v>
      </c>
      <c r="E28" s="21"/>
      <c r="F28" s="30"/>
      <c r="G28" s="30"/>
      <c r="H28" s="30"/>
    </row>
    <row r="29" spans="2:8" ht="15.75" customHeight="1" x14ac:dyDescent="0.2">
      <c r="B29" s="18"/>
      <c r="C29" s="19" t="s">
        <v>156</v>
      </c>
      <c r="D29" s="140">
        <f>$D$9*($D$7*D15)</f>
        <v>10036.844999999999</v>
      </c>
      <c r="E29" s="21"/>
      <c r="F29" s="30"/>
      <c r="G29" s="30"/>
      <c r="H29" s="30"/>
    </row>
    <row r="30" spans="2:8" ht="15.75" customHeight="1" x14ac:dyDescent="0.2">
      <c r="B30" s="18"/>
      <c r="C30" s="19" t="s">
        <v>88</v>
      </c>
      <c r="D30" s="140">
        <f>-(D7+D8)</f>
        <v>-700000</v>
      </c>
      <c r="E30" s="21"/>
      <c r="F30" s="30"/>
      <c r="G30" s="30"/>
      <c r="H30" s="30"/>
    </row>
    <row r="31" spans="2:8" ht="15.75" customHeight="1" x14ac:dyDescent="0.2">
      <c r="B31" s="18"/>
      <c r="C31" s="19" t="s">
        <v>121</v>
      </c>
      <c r="D31" s="140">
        <f>NPV(D10,D26,D27,D28,D29,D21+D8)+D30</f>
        <v>-537415.61164517235</v>
      </c>
      <c r="E31" s="21"/>
      <c r="F31" s="30"/>
      <c r="G31" s="30"/>
      <c r="H31" s="30"/>
    </row>
    <row r="32" spans="2:8" ht="15.75" customHeight="1" x14ac:dyDescent="0.2">
      <c r="B32" s="18"/>
      <c r="C32" s="19"/>
      <c r="D32" s="146"/>
      <c r="E32" s="21"/>
      <c r="F32" s="30"/>
      <c r="G32" s="30"/>
      <c r="H32" s="30"/>
    </row>
    <row r="33" spans="2:8" ht="15.75" customHeight="1" x14ac:dyDescent="0.25">
      <c r="B33" s="18"/>
      <c r="C33" s="19" t="s">
        <v>122</v>
      </c>
      <c r="D33" s="162">
        <f>-D31/((1-D9)*PV(D10,5,-1,0))</f>
        <v>188714.33008534432</v>
      </c>
      <c r="E33" s="22"/>
      <c r="F33" s="30"/>
      <c r="G33" s="30"/>
      <c r="H33" s="31"/>
    </row>
    <row r="34" spans="2:8" ht="15.75" customHeight="1" thickBot="1" x14ac:dyDescent="0.25">
      <c r="B34" s="23"/>
      <c r="C34" s="24"/>
      <c r="D34" s="24"/>
      <c r="E34" s="25"/>
      <c r="F34" s="30"/>
      <c r="G34" s="30"/>
      <c r="H34" s="30"/>
    </row>
    <row r="35" spans="2:8" ht="15.75" customHeight="1" x14ac:dyDescent="0.2">
      <c r="B35" s="14"/>
      <c r="E35" s="14"/>
      <c r="F35" s="14"/>
      <c r="G35" s="14"/>
      <c r="H35" s="14"/>
    </row>
    <row r="36" spans="2:8" ht="15.75" customHeight="1" x14ac:dyDescent="0.2">
      <c r="D36" s="26"/>
    </row>
    <row r="37" spans="2:8" ht="15.75" customHeight="1" x14ac:dyDescent="0.2"/>
    <row r="38" spans="2:8" ht="15.75" customHeight="1" x14ac:dyDescent="0.2"/>
    <row r="39" spans="2:8" ht="15.75" customHeight="1" x14ac:dyDescent="0.2"/>
    <row r="40" spans="2:8" ht="15.75" customHeight="1" x14ac:dyDescent="0.2"/>
    <row r="41" spans="2:8" ht="15.75" customHeight="1" x14ac:dyDescent="0.2"/>
    <row r="42" spans="2:8" ht="15.75" customHeight="1" x14ac:dyDescent="0.2"/>
    <row r="43" spans="2:8" ht="15.75" customHeight="1" x14ac:dyDescent="0.2"/>
    <row r="44" spans="2: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9.14062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305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85</v>
      </c>
      <c r="D7" s="143">
        <v>145000</v>
      </c>
      <c r="E7" s="9"/>
      <c r="G7" s="57"/>
    </row>
    <row r="8" spans="2:7" ht="15.75" customHeight="1" x14ac:dyDescent="0.2">
      <c r="B8" s="8"/>
      <c r="C8" s="13" t="s">
        <v>86</v>
      </c>
      <c r="D8" s="83">
        <v>2100000</v>
      </c>
      <c r="E8" s="9"/>
      <c r="G8" s="57"/>
    </row>
    <row r="9" spans="2:7" ht="15.75" customHeight="1" x14ac:dyDescent="0.2">
      <c r="B9" s="8"/>
      <c r="C9" s="13" t="s">
        <v>32</v>
      </c>
      <c r="D9" s="83">
        <v>150000</v>
      </c>
      <c r="E9" s="9"/>
      <c r="G9" s="57"/>
    </row>
    <row r="10" spans="2:7" ht="15.75" customHeight="1" x14ac:dyDescent="0.2">
      <c r="B10" s="8"/>
      <c r="C10" s="13" t="s">
        <v>78</v>
      </c>
      <c r="D10" s="83">
        <v>650000</v>
      </c>
      <c r="E10" s="9"/>
      <c r="G10" s="57"/>
    </row>
    <row r="11" spans="2:7" ht="15.75" customHeight="1" x14ac:dyDescent="0.2">
      <c r="B11" s="8"/>
      <c r="C11" s="13" t="s">
        <v>58</v>
      </c>
      <c r="D11" s="83"/>
      <c r="E11" s="9"/>
    </row>
    <row r="12" spans="2:7" ht="15.75" customHeight="1" x14ac:dyDescent="0.2">
      <c r="B12" s="8"/>
      <c r="C12" s="13" t="s">
        <v>59</v>
      </c>
      <c r="D12" s="284">
        <v>9.4499999999999993</v>
      </c>
      <c r="E12" s="9"/>
    </row>
    <row r="13" spans="2:7" ht="15.75" customHeight="1" x14ac:dyDescent="0.2">
      <c r="B13" s="8"/>
      <c r="C13" s="13" t="s">
        <v>87</v>
      </c>
      <c r="D13" s="83">
        <v>325000</v>
      </c>
      <c r="E13" s="9"/>
    </row>
    <row r="14" spans="2:7" ht="15.75" customHeight="1" x14ac:dyDescent="0.2">
      <c r="B14" s="8"/>
      <c r="C14" s="13" t="s">
        <v>6</v>
      </c>
      <c r="D14" s="82">
        <v>0.21</v>
      </c>
      <c r="E14" s="9"/>
    </row>
    <row r="15" spans="2:7" ht="15.75" customHeight="1" x14ac:dyDescent="0.2">
      <c r="B15" s="8"/>
      <c r="C15" s="13" t="s">
        <v>19</v>
      </c>
      <c r="D15" s="82">
        <v>0.11</v>
      </c>
      <c r="E15" s="9"/>
    </row>
    <row r="16" spans="2:7" ht="15.75" customHeight="1" x14ac:dyDescent="0.2">
      <c r="B16" s="8"/>
      <c r="C16" s="13" t="s">
        <v>34</v>
      </c>
      <c r="D16" s="94"/>
      <c r="E16" s="9"/>
    </row>
    <row r="17" spans="2:8" ht="15.75" customHeight="1" x14ac:dyDescent="0.2">
      <c r="B17" s="8"/>
      <c r="C17" s="13" t="s">
        <v>35</v>
      </c>
      <c r="D17" s="94">
        <v>5</v>
      </c>
      <c r="E17" s="9"/>
    </row>
    <row r="18" spans="2:8" ht="15.75" customHeight="1" thickBot="1" x14ac:dyDescent="0.25">
      <c r="B18" s="10"/>
      <c r="C18" s="65"/>
      <c r="D18" s="65"/>
      <c r="E18" s="12"/>
    </row>
    <row r="19" spans="2:8" ht="15.75" customHeight="1" x14ac:dyDescent="0.2">
      <c r="B19" s="64"/>
      <c r="E19" s="64"/>
    </row>
    <row r="20" spans="2:8" ht="15.75" customHeight="1" x14ac:dyDescent="0.2">
      <c r="C20" s="2" t="s">
        <v>2</v>
      </c>
    </row>
    <row r="21" spans="2:8" ht="15.75" customHeight="1" thickBot="1" x14ac:dyDescent="0.25"/>
    <row r="22" spans="2:8" ht="15.75" customHeight="1" x14ac:dyDescent="0.2">
      <c r="B22" s="15"/>
      <c r="C22" s="16"/>
      <c r="D22" s="16"/>
      <c r="E22" s="17"/>
    </row>
    <row r="23" spans="2:8" ht="15.75" customHeight="1" x14ac:dyDescent="0.2">
      <c r="B23" s="18"/>
      <c r="C23" s="19" t="s">
        <v>27</v>
      </c>
      <c r="D23" s="140">
        <f>D9*(1-D14)</f>
        <v>118500</v>
      </c>
      <c r="E23" s="21"/>
      <c r="F23" s="30"/>
      <c r="G23" s="30"/>
      <c r="H23" s="30"/>
    </row>
    <row r="24" spans="2:8" ht="15.75" customHeight="1" x14ac:dyDescent="0.2">
      <c r="B24" s="18"/>
      <c r="C24" s="19" t="s">
        <v>12</v>
      </c>
      <c r="D24" s="140">
        <f>(D8/D17)*D14</f>
        <v>88200</v>
      </c>
      <c r="E24" s="21"/>
      <c r="F24" s="30"/>
      <c r="G24" s="30"/>
      <c r="H24" s="30"/>
    </row>
    <row r="25" spans="2:8" ht="15.75" customHeight="1" x14ac:dyDescent="0.2">
      <c r="B25" s="18"/>
      <c r="C25" s="19" t="s">
        <v>88</v>
      </c>
      <c r="D25" s="140">
        <f>-D8-D13</f>
        <v>-2425000</v>
      </c>
      <c r="E25" s="21"/>
      <c r="F25" s="30"/>
      <c r="G25" s="30"/>
      <c r="H25" s="30"/>
    </row>
    <row r="26" spans="2:8" ht="15.75" customHeight="1" x14ac:dyDescent="0.2">
      <c r="B26" s="18"/>
      <c r="C26" s="19" t="s">
        <v>80</v>
      </c>
      <c r="D26" s="140">
        <f>D25+(D13+D23)/((1+D15)^D17)</f>
        <v>-2161804.3360060295</v>
      </c>
      <c r="E26" s="21"/>
      <c r="F26" s="30"/>
      <c r="G26" s="30"/>
      <c r="H26" s="30"/>
    </row>
    <row r="27" spans="2:8" ht="15.75" customHeight="1" x14ac:dyDescent="0.2">
      <c r="B27" s="18"/>
      <c r="C27" s="19" t="s">
        <v>89</v>
      </c>
      <c r="D27" s="140">
        <f>PMT(D15,D17,D26)</f>
        <v>584920.06830344652</v>
      </c>
      <c r="E27" s="21"/>
      <c r="F27" s="30"/>
      <c r="G27" s="30"/>
      <c r="H27" s="30"/>
    </row>
    <row r="28" spans="2:8" ht="15.75" customHeight="1" x14ac:dyDescent="0.2">
      <c r="B28" s="18"/>
      <c r="C28" s="19" t="s">
        <v>90</v>
      </c>
      <c r="D28" s="140">
        <f>D27-D24</f>
        <v>496720.06830344652</v>
      </c>
      <c r="E28" s="21"/>
      <c r="F28" s="30"/>
      <c r="G28" s="30"/>
      <c r="H28" s="30"/>
    </row>
    <row r="29" spans="2:8" ht="15.75" customHeight="1" x14ac:dyDescent="0.2">
      <c r="B29" s="18"/>
      <c r="C29" s="19"/>
      <c r="D29" s="146"/>
      <c r="E29" s="21"/>
      <c r="F29" s="30"/>
      <c r="G29" s="30"/>
      <c r="H29" s="30"/>
    </row>
    <row r="30" spans="2:8" ht="15.75" customHeight="1" x14ac:dyDescent="0.25">
      <c r="B30" s="18"/>
      <c r="C30" s="19" t="s">
        <v>91</v>
      </c>
      <c r="D30" s="137">
        <f>(((D28/(1-D14))+D10)/D7)+D12</f>
        <v>18.269031587109964</v>
      </c>
      <c r="E30" s="22"/>
      <c r="F30" s="30"/>
      <c r="G30" s="30"/>
      <c r="H30" s="31"/>
    </row>
    <row r="31" spans="2:8" ht="15.75" customHeight="1" thickBot="1" x14ac:dyDescent="0.25">
      <c r="B31" s="23"/>
      <c r="C31" s="24"/>
      <c r="D31" s="24"/>
      <c r="E31" s="25"/>
      <c r="F31" s="30"/>
      <c r="G31" s="30"/>
      <c r="H31" s="30"/>
    </row>
    <row r="32" spans="2:8" ht="15.75" customHeight="1" x14ac:dyDescent="0.2">
      <c r="B32" s="14"/>
      <c r="E32" s="14"/>
      <c r="F32" s="14"/>
      <c r="G32" s="14"/>
      <c r="H32" s="14"/>
    </row>
    <row r="33" spans="4:4" ht="15.75" customHeight="1" x14ac:dyDescent="0.2">
      <c r="D33" s="26"/>
    </row>
    <row r="34" spans="4:4" ht="15.75" customHeight="1" x14ac:dyDescent="0.2"/>
    <row r="35" spans="4:4" ht="15.75" customHeight="1" x14ac:dyDescent="0.2"/>
    <row r="36" spans="4:4" ht="15.75" customHeight="1" x14ac:dyDescent="0.2"/>
    <row r="37" spans="4:4" ht="15.75" customHeight="1" x14ac:dyDescent="0.2"/>
    <row r="38" spans="4:4" ht="15.75" customHeight="1" x14ac:dyDescent="0.2"/>
    <row r="39" spans="4:4" ht="15.75" customHeight="1" x14ac:dyDescent="0.2"/>
    <row r="40" spans="4:4" ht="15.75" customHeight="1" x14ac:dyDescent="0.2"/>
    <row r="41" spans="4: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2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9" width="19.42578125" customWidth="1"/>
    <col min="10" max="10" width="4.710937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304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85</v>
      </c>
      <c r="D7" s="149">
        <f>'#34'!D7</f>
        <v>145000</v>
      </c>
      <c r="E7" s="9"/>
      <c r="G7" s="57"/>
    </row>
    <row r="8" spans="2:7" ht="15.75" customHeight="1" x14ac:dyDescent="0.2">
      <c r="B8" s="8"/>
      <c r="C8" s="13" t="s">
        <v>86</v>
      </c>
      <c r="D8" s="126">
        <f>'#34'!D8</f>
        <v>2100000</v>
      </c>
      <c r="E8" s="9"/>
      <c r="G8" s="57"/>
    </row>
    <row r="9" spans="2:7" ht="15.75" customHeight="1" x14ac:dyDescent="0.2">
      <c r="B9" s="8"/>
      <c r="C9" s="13" t="s">
        <v>32</v>
      </c>
      <c r="D9" s="126">
        <f>'#34'!D9</f>
        <v>150000</v>
      </c>
      <c r="E9" s="9"/>
      <c r="G9" s="57"/>
    </row>
    <row r="10" spans="2:7" ht="15.75" customHeight="1" x14ac:dyDescent="0.2">
      <c r="B10" s="8"/>
      <c r="C10" s="13" t="s">
        <v>78</v>
      </c>
      <c r="D10" s="126">
        <f>'#34'!D10</f>
        <v>650000</v>
      </c>
      <c r="E10" s="9"/>
      <c r="G10" s="57"/>
    </row>
    <row r="11" spans="2:7" ht="15.75" customHeight="1" x14ac:dyDescent="0.2">
      <c r="B11" s="8"/>
      <c r="C11" s="13" t="s">
        <v>58</v>
      </c>
      <c r="D11" s="126"/>
      <c r="E11" s="9"/>
    </row>
    <row r="12" spans="2:7" ht="15.75" customHeight="1" x14ac:dyDescent="0.2">
      <c r="B12" s="8"/>
      <c r="C12" s="13" t="s">
        <v>59</v>
      </c>
      <c r="D12" s="223">
        <f>'#34'!D12</f>
        <v>9.4499999999999993</v>
      </c>
      <c r="E12" s="9"/>
    </row>
    <row r="13" spans="2:7" ht="15.75" customHeight="1" x14ac:dyDescent="0.2">
      <c r="B13" s="8"/>
      <c r="C13" s="13" t="s">
        <v>87</v>
      </c>
      <c r="D13" s="126">
        <f>'#34'!D13</f>
        <v>325000</v>
      </c>
      <c r="E13" s="9"/>
    </row>
    <row r="14" spans="2:7" ht="15.75" customHeight="1" x14ac:dyDescent="0.2">
      <c r="B14" s="8"/>
      <c r="C14" s="13" t="s">
        <v>6</v>
      </c>
      <c r="D14" s="130">
        <f>'#34'!D14</f>
        <v>0.21</v>
      </c>
      <c r="E14" s="9"/>
    </row>
    <row r="15" spans="2:7" ht="15.75" customHeight="1" x14ac:dyDescent="0.2">
      <c r="B15" s="8"/>
      <c r="C15" s="13" t="s">
        <v>19</v>
      </c>
      <c r="D15" s="130">
        <f>'#34'!D15</f>
        <v>0.11</v>
      </c>
      <c r="E15" s="9"/>
    </row>
    <row r="16" spans="2:7" ht="15.75" customHeight="1" x14ac:dyDescent="0.2">
      <c r="B16" s="8"/>
      <c r="C16" s="13" t="s">
        <v>33</v>
      </c>
      <c r="D16" s="139"/>
      <c r="E16" s="9"/>
    </row>
    <row r="17" spans="2:10" ht="15.75" customHeight="1" x14ac:dyDescent="0.2">
      <c r="B17" s="8"/>
      <c r="C17" s="13" t="s">
        <v>35</v>
      </c>
      <c r="D17" s="139">
        <f>'#34'!D17</f>
        <v>5</v>
      </c>
      <c r="E17" s="9"/>
    </row>
    <row r="18" spans="2:10" ht="15.75" customHeight="1" x14ac:dyDescent="0.2">
      <c r="B18" s="8"/>
      <c r="C18" s="163" t="s">
        <v>123</v>
      </c>
      <c r="D18" s="164">
        <v>20</v>
      </c>
      <c r="E18" s="9"/>
    </row>
    <row r="19" spans="2:10" ht="15.75" customHeight="1" thickBot="1" x14ac:dyDescent="0.25">
      <c r="B19" s="10"/>
      <c r="C19" s="65"/>
      <c r="D19" s="65"/>
      <c r="E19" s="12"/>
    </row>
    <row r="20" spans="2:10" ht="15.75" customHeight="1" x14ac:dyDescent="0.2">
      <c r="B20" s="64"/>
      <c r="E20" s="64"/>
    </row>
    <row r="21" spans="2:10" ht="15.75" customHeight="1" x14ac:dyDescent="0.2">
      <c r="C21" s="2" t="s">
        <v>2</v>
      </c>
    </row>
    <row r="22" spans="2:10" ht="15.75" customHeight="1" thickBot="1" x14ac:dyDescent="0.25"/>
    <row r="23" spans="2:10" ht="15.75" customHeight="1" x14ac:dyDescent="0.2">
      <c r="B23" s="68"/>
      <c r="C23" s="69"/>
      <c r="D23" s="69"/>
      <c r="E23" s="69"/>
      <c r="F23" s="69"/>
      <c r="G23" s="69"/>
      <c r="H23" s="69"/>
      <c r="I23" s="69"/>
      <c r="J23" s="154"/>
    </row>
    <row r="24" spans="2:10" ht="15.75" customHeight="1" x14ac:dyDescent="0.2">
      <c r="B24" s="70"/>
      <c r="C24" s="19" t="s">
        <v>27</v>
      </c>
      <c r="D24" s="120">
        <f>D9*(1-D14)</f>
        <v>118500</v>
      </c>
      <c r="E24" s="19"/>
      <c r="F24" s="19"/>
      <c r="G24" s="19"/>
      <c r="H24" s="19"/>
      <c r="I24" s="19"/>
      <c r="J24" s="22"/>
    </row>
    <row r="25" spans="2:10" ht="15.75" customHeight="1" x14ac:dyDescent="0.2">
      <c r="B25" s="70"/>
      <c r="C25" s="19"/>
      <c r="D25" s="19"/>
      <c r="E25" s="19"/>
      <c r="F25" s="19"/>
      <c r="G25" s="19"/>
      <c r="H25" s="19"/>
      <c r="I25" s="19"/>
      <c r="J25" s="22"/>
    </row>
    <row r="26" spans="2:10" ht="15.75" customHeight="1" x14ac:dyDescent="0.2">
      <c r="B26" s="165" t="s">
        <v>124</v>
      </c>
      <c r="C26" s="156" t="s">
        <v>23</v>
      </c>
      <c r="D26" s="155">
        <v>0</v>
      </c>
      <c r="E26" s="155">
        <v>1</v>
      </c>
      <c r="F26" s="155">
        <v>2</v>
      </c>
      <c r="G26" s="155">
        <v>3</v>
      </c>
      <c r="H26" s="155">
        <v>4</v>
      </c>
      <c r="I26" s="155">
        <v>5</v>
      </c>
      <c r="J26" s="22"/>
    </row>
    <row r="27" spans="2:10" ht="15.75" customHeight="1" x14ac:dyDescent="0.2">
      <c r="B27" s="70"/>
      <c r="C27" s="19" t="s">
        <v>10</v>
      </c>
      <c r="D27" s="136"/>
      <c r="E27" s="78">
        <f>$D$7*$D$18</f>
        <v>2900000</v>
      </c>
      <c r="F27" s="78">
        <f>$D$7*$D$18</f>
        <v>2900000</v>
      </c>
      <c r="G27" s="78">
        <f>$D$7*$D$18</f>
        <v>2900000</v>
      </c>
      <c r="H27" s="78">
        <f>$D$7*$D$18</f>
        <v>2900000</v>
      </c>
      <c r="I27" s="78">
        <f>$D$7*$D$18</f>
        <v>2900000</v>
      </c>
      <c r="J27" s="22"/>
    </row>
    <row r="28" spans="2:10" ht="15.75" customHeight="1" x14ac:dyDescent="0.2">
      <c r="B28" s="70"/>
      <c r="C28" s="19" t="s">
        <v>77</v>
      </c>
      <c r="D28" s="136"/>
      <c r="E28" s="79">
        <f>$D$7*$D$12</f>
        <v>1370250</v>
      </c>
      <c r="F28" s="79">
        <f>$D$7*$D$12</f>
        <v>1370250</v>
      </c>
      <c r="G28" s="79">
        <f>$D$7*$D$12</f>
        <v>1370250</v>
      </c>
      <c r="H28" s="79">
        <f>$D$7*$D$12</f>
        <v>1370250</v>
      </c>
      <c r="I28" s="79">
        <f>$D$7*$D$12</f>
        <v>1370250</v>
      </c>
      <c r="J28" s="22"/>
    </row>
    <row r="29" spans="2:10" ht="15.75" customHeight="1" x14ac:dyDescent="0.2">
      <c r="B29" s="70"/>
      <c r="C29" s="19" t="s">
        <v>78</v>
      </c>
      <c r="D29" s="136"/>
      <c r="E29" s="79">
        <f>$D$10</f>
        <v>650000</v>
      </c>
      <c r="F29" s="79">
        <f>$D$10</f>
        <v>650000</v>
      </c>
      <c r="G29" s="79">
        <f>$D$10</f>
        <v>650000</v>
      </c>
      <c r="H29" s="79">
        <f>$D$10</f>
        <v>650000</v>
      </c>
      <c r="I29" s="79">
        <f>$D$10</f>
        <v>650000</v>
      </c>
      <c r="J29" s="22"/>
    </row>
    <row r="30" spans="2:10" ht="15.75" customHeight="1" x14ac:dyDescent="0.2">
      <c r="B30" s="70"/>
      <c r="C30" s="19" t="s">
        <v>5</v>
      </c>
      <c r="D30" s="136"/>
      <c r="E30" s="81">
        <f>$D$8/$D$17</f>
        <v>420000</v>
      </c>
      <c r="F30" s="81">
        <f>$D$8/$D$17</f>
        <v>420000</v>
      </c>
      <c r="G30" s="81">
        <f>$D$8/$D$17</f>
        <v>420000</v>
      </c>
      <c r="H30" s="81">
        <f>$D$8/$D$17</f>
        <v>420000</v>
      </c>
      <c r="I30" s="81">
        <f>$D$8/$D$17</f>
        <v>420000</v>
      </c>
      <c r="J30" s="22"/>
    </row>
    <row r="31" spans="2:10" ht="15.75" customHeight="1" x14ac:dyDescent="0.2">
      <c r="B31" s="70"/>
      <c r="C31" s="19" t="s">
        <v>109</v>
      </c>
      <c r="D31" s="136"/>
      <c r="E31" s="78">
        <f>E27-E28-E29-E30</f>
        <v>459750</v>
      </c>
      <c r="F31" s="78">
        <f>F27-F28-F29-F30</f>
        <v>459750</v>
      </c>
      <c r="G31" s="78">
        <f>G27-G28-G29-G30</f>
        <v>459750</v>
      </c>
      <c r="H31" s="78">
        <f>H27-H28-H29-H30</f>
        <v>459750</v>
      </c>
      <c r="I31" s="78">
        <f>I27-I28-I29-I30</f>
        <v>459750</v>
      </c>
      <c r="J31" s="22"/>
    </row>
    <row r="32" spans="2:10" ht="15.75" customHeight="1" x14ac:dyDescent="0.2">
      <c r="B32" s="70"/>
      <c r="C32" s="19" t="s">
        <v>76</v>
      </c>
      <c r="D32" s="136"/>
      <c r="E32" s="81">
        <f>$E$31*$D$14</f>
        <v>96547.5</v>
      </c>
      <c r="F32" s="81">
        <f>$E$31*$D$14</f>
        <v>96547.5</v>
      </c>
      <c r="G32" s="81">
        <f>$E$31*$D$14</f>
        <v>96547.5</v>
      </c>
      <c r="H32" s="81">
        <f>$E$31*$D$14</f>
        <v>96547.5</v>
      </c>
      <c r="I32" s="81">
        <f>$E$31*$D$14</f>
        <v>96547.5</v>
      </c>
      <c r="J32" s="22"/>
    </row>
    <row r="33" spans="2:10" ht="15.75" customHeight="1" x14ac:dyDescent="0.2">
      <c r="B33" s="70"/>
      <c r="C33" s="19" t="s">
        <v>110</v>
      </c>
      <c r="D33" s="136"/>
      <c r="E33" s="78">
        <f>E31-E32</f>
        <v>363202.5</v>
      </c>
      <c r="F33" s="78">
        <f>F31-F32</f>
        <v>363202.5</v>
      </c>
      <c r="G33" s="78">
        <f>G31-G32</f>
        <v>363202.5</v>
      </c>
      <c r="H33" s="78">
        <f>H31-H32</f>
        <v>363202.5</v>
      </c>
      <c r="I33" s="78">
        <f>I31-I32</f>
        <v>363202.5</v>
      </c>
      <c r="J33" s="22"/>
    </row>
    <row r="34" spans="2:10" ht="15.75" customHeight="1" x14ac:dyDescent="0.2">
      <c r="B34" s="70"/>
      <c r="C34" s="19" t="s">
        <v>5</v>
      </c>
      <c r="D34" s="136"/>
      <c r="E34" s="79">
        <f>E30</f>
        <v>420000</v>
      </c>
      <c r="F34" s="79">
        <f>F30</f>
        <v>420000</v>
      </c>
      <c r="G34" s="79">
        <f>G30</f>
        <v>420000</v>
      </c>
      <c r="H34" s="79">
        <f>H30</f>
        <v>420000</v>
      </c>
      <c r="I34" s="79">
        <f>I30</f>
        <v>420000</v>
      </c>
      <c r="J34" s="22"/>
    </row>
    <row r="35" spans="2:10" ht="15.75" customHeight="1" thickBot="1" x14ac:dyDescent="0.25">
      <c r="B35" s="70"/>
      <c r="C35" s="19" t="s">
        <v>111</v>
      </c>
      <c r="D35" s="136"/>
      <c r="E35" s="125">
        <f>E33+E34</f>
        <v>783202.5</v>
      </c>
      <c r="F35" s="125">
        <f>F33+F34</f>
        <v>783202.5</v>
      </c>
      <c r="G35" s="125">
        <f>G33+G34</f>
        <v>783202.5</v>
      </c>
      <c r="H35" s="125">
        <f>H33+H34</f>
        <v>783202.5</v>
      </c>
      <c r="I35" s="125">
        <f>I33+I34</f>
        <v>783202.5</v>
      </c>
      <c r="J35" s="22"/>
    </row>
    <row r="36" spans="2:10" ht="15.75" customHeight="1" thickTop="1" x14ac:dyDescent="0.2">
      <c r="B36" s="70"/>
      <c r="C36" s="19"/>
      <c r="D36" s="136"/>
      <c r="E36" s="78"/>
      <c r="F36" s="78"/>
      <c r="G36" s="78"/>
      <c r="H36" s="78"/>
      <c r="I36" s="78"/>
      <c r="J36" s="22"/>
    </row>
    <row r="37" spans="2:10" ht="15.75" customHeight="1" x14ac:dyDescent="0.2">
      <c r="B37" s="70"/>
      <c r="C37" s="157" t="s">
        <v>112</v>
      </c>
      <c r="D37" s="140"/>
      <c r="E37" s="140"/>
      <c r="F37" s="140"/>
      <c r="G37" s="140"/>
      <c r="H37" s="140"/>
      <c r="I37" s="140"/>
      <c r="J37" s="22"/>
    </row>
    <row r="38" spans="2:10" ht="15.75" customHeight="1" x14ac:dyDescent="0.2">
      <c r="B38" s="70"/>
      <c r="C38" s="19" t="s">
        <v>111</v>
      </c>
      <c r="D38" s="95"/>
      <c r="E38" s="95">
        <f>E35</f>
        <v>783202.5</v>
      </c>
      <c r="F38" s="95">
        <f>F35</f>
        <v>783202.5</v>
      </c>
      <c r="G38" s="95">
        <f>G35</f>
        <v>783202.5</v>
      </c>
      <c r="H38" s="95">
        <f>H35</f>
        <v>783202.5</v>
      </c>
      <c r="I38" s="95">
        <f>I35</f>
        <v>783202.5</v>
      </c>
      <c r="J38" s="22"/>
    </row>
    <row r="39" spans="2:10" ht="15.75" customHeight="1" x14ac:dyDescent="0.2">
      <c r="B39" s="70"/>
      <c r="C39" s="19" t="s">
        <v>113</v>
      </c>
      <c r="D39" s="95">
        <f>-$D$13</f>
        <v>-325000</v>
      </c>
      <c r="E39" s="138"/>
      <c r="F39" s="138"/>
      <c r="G39" s="138"/>
      <c r="H39" s="138"/>
      <c r="I39" s="138">
        <f>D13</f>
        <v>325000</v>
      </c>
      <c r="J39" s="22"/>
    </row>
    <row r="40" spans="2:10" ht="15.75" customHeight="1" x14ac:dyDescent="0.2">
      <c r="B40" s="70"/>
      <c r="C40" s="19" t="s">
        <v>114</v>
      </c>
      <c r="D40" s="138">
        <f>-$D$8</f>
        <v>-2100000</v>
      </c>
      <c r="E40" s="138"/>
      <c r="F40" s="138"/>
      <c r="G40" s="138"/>
      <c r="H40" s="138"/>
      <c r="I40" s="138">
        <f>$D$24</f>
        <v>118500</v>
      </c>
      <c r="J40" s="22"/>
    </row>
    <row r="41" spans="2:10" ht="15.75" customHeight="1" thickBot="1" x14ac:dyDescent="0.25">
      <c r="B41" s="70"/>
      <c r="C41" s="19" t="s">
        <v>115</v>
      </c>
      <c r="D41" s="158">
        <f t="shared" ref="D41:I41" si="0">D38+D39+D40</f>
        <v>-2425000</v>
      </c>
      <c r="E41" s="159">
        <f t="shared" si="0"/>
        <v>783202.5</v>
      </c>
      <c r="F41" s="159">
        <f t="shared" si="0"/>
        <v>783202.5</v>
      </c>
      <c r="G41" s="159">
        <f t="shared" si="0"/>
        <v>783202.5</v>
      </c>
      <c r="H41" s="159">
        <f t="shared" si="0"/>
        <v>783202.5</v>
      </c>
      <c r="I41" s="159">
        <f t="shared" si="0"/>
        <v>1226702.5</v>
      </c>
      <c r="J41" s="22"/>
    </row>
    <row r="42" spans="2:10" ht="15.75" customHeight="1" thickTop="1" x14ac:dyDescent="0.2">
      <c r="B42" s="70"/>
      <c r="C42" s="19"/>
      <c r="D42" s="140"/>
      <c r="E42" s="140"/>
      <c r="F42" s="140"/>
      <c r="G42" s="140"/>
      <c r="H42" s="140"/>
      <c r="I42" s="140"/>
      <c r="J42" s="22"/>
    </row>
    <row r="43" spans="2:10" ht="15.75" customHeight="1" x14ac:dyDescent="0.25">
      <c r="B43" s="70"/>
      <c r="C43" s="19" t="s">
        <v>116</v>
      </c>
      <c r="D43" s="137">
        <f>NPV(D15,E41:I41)+D41</f>
        <v>732831.44795957534</v>
      </c>
      <c r="E43" s="146"/>
      <c r="F43" s="146"/>
      <c r="G43" s="146"/>
      <c r="H43" s="146"/>
      <c r="I43" s="146"/>
      <c r="J43" s="22"/>
    </row>
    <row r="44" spans="2:10" ht="15.75" customHeight="1" x14ac:dyDescent="0.25">
      <c r="B44" s="70"/>
      <c r="C44" s="19"/>
      <c r="D44" s="160"/>
      <c r="E44" s="146"/>
      <c r="F44" s="146"/>
      <c r="G44" s="146"/>
      <c r="H44" s="146"/>
      <c r="I44" s="146"/>
      <c r="J44" s="22"/>
    </row>
    <row r="45" spans="2:10" ht="15.75" customHeight="1" x14ac:dyDescent="0.2">
      <c r="B45" s="165" t="s">
        <v>125</v>
      </c>
      <c r="C45" s="19" t="s">
        <v>80</v>
      </c>
      <c r="D45" s="140">
        <f>PV($D$15,$D$17,0,-($D$13+$D$24))+$D$41</f>
        <v>-2161804.3360060295</v>
      </c>
      <c r="E45" s="146"/>
      <c r="F45" s="146"/>
      <c r="G45" s="146"/>
      <c r="H45" s="146"/>
      <c r="I45" s="146"/>
      <c r="J45" s="22"/>
    </row>
    <row r="46" spans="2:10" ht="15.75" customHeight="1" x14ac:dyDescent="0.2">
      <c r="B46" s="70"/>
      <c r="C46" s="19" t="s">
        <v>89</v>
      </c>
      <c r="D46" s="166">
        <f>PMT(D15,D17,D45,0,0)</f>
        <v>584920.06830344652</v>
      </c>
      <c r="E46" s="146"/>
      <c r="F46" s="146"/>
      <c r="G46" s="146"/>
      <c r="H46" s="146"/>
      <c r="I46" s="146"/>
      <c r="J46" s="22"/>
    </row>
    <row r="47" spans="2:10" ht="15.75" customHeight="1" x14ac:dyDescent="0.25">
      <c r="B47" s="70"/>
      <c r="C47" s="19" t="s">
        <v>126</v>
      </c>
      <c r="D47" s="167">
        <f>((((D46-(D14*(D8/D17)))/(1-D14))+D10)/(D18-D12))</f>
        <v>121209.43887497108</v>
      </c>
      <c r="E47" s="146"/>
      <c r="F47" s="146"/>
      <c r="G47" s="146"/>
      <c r="H47" s="146"/>
      <c r="I47" s="146"/>
      <c r="J47" s="22"/>
    </row>
    <row r="48" spans="2:10" ht="15.75" customHeight="1" x14ac:dyDescent="0.25">
      <c r="B48" s="70"/>
      <c r="C48" s="19"/>
      <c r="D48" s="160"/>
      <c r="E48" s="146"/>
      <c r="F48" s="146"/>
      <c r="G48" s="146"/>
      <c r="H48" s="146"/>
      <c r="I48" s="146"/>
      <c r="J48" s="22"/>
    </row>
    <row r="49" spans="2:10" ht="15.75" customHeight="1" x14ac:dyDescent="0.2">
      <c r="B49" s="70"/>
      <c r="C49" s="156" t="s">
        <v>23</v>
      </c>
      <c r="D49" s="155">
        <v>0</v>
      </c>
      <c r="E49" s="155">
        <v>1</v>
      </c>
      <c r="F49" s="155">
        <v>2</v>
      </c>
      <c r="G49" s="155">
        <v>3</v>
      </c>
      <c r="H49" s="155">
        <v>4</v>
      </c>
      <c r="I49" s="155">
        <v>5</v>
      </c>
      <c r="J49" s="22"/>
    </row>
    <row r="50" spans="2:10" ht="15.75" customHeight="1" x14ac:dyDescent="0.2">
      <c r="B50" s="70"/>
      <c r="C50" s="19" t="s">
        <v>10</v>
      </c>
      <c r="D50" s="136"/>
      <c r="E50" s="78">
        <f>$D$18*$D$47</f>
        <v>2424188.7774994215</v>
      </c>
      <c r="F50" s="78">
        <f>$D$18*$D$47</f>
        <v>2424188.7774994215</v>
      </c>
      <c r="G50" s="78">
        <f>$D$18*$D$47</f>
        <v>2424188.7774994215</v>
      </c>
      <c r="H50" s="78">
        <f>$D$18*$D$47</f>
        <v>2424188.7774994215</v>
      </c>
      <c r="I50" s="78">
        <f>$D$18*$D$47</f>
        <v>2424188.7774994215</v>
      </c>
      <c r="J50" s="22"/>
    </row>
    <row r="51" spans="2:10" ht="15.75" customHeight="1" x14ac:dyDescent="0.2">
      <c r="B51" s="70"/>
      <c r="C51" s="19" t="s">
        <v>77</v>
      </c>
      <c r="D51" s="136"/>
      <c r="E51" s="79">
        <f>$D$47*$D$12</f>
        <v>1145429.1973684765</v>
      </c>
      <c r="F51" s="79">
        <f>$D$47*$D$12</f>
        <v>1145429.1973684765</v>
      </c>
      <c r="G51" s="79">
        <f>$D$47*$D$12</f>
        <v>1145429.1973684765</v>
      </c>
      <c r="H51" s="79">
        <f>$D$47*$D$12</f>
        <v>1145429.1973684765</v>
      </c>
      <c r="I51" s="79">
        <f>$D$47*$D$12</f>
        <v>1145429.1973684765</v>
      </c>
      <c r="J51" s="22"/>
    </row>
    <row r="52" spans="2:10" ht="15.75" customHeight="1" x14ac:dyDescent="0.25">
      <c r="B52" s="70"/>
      <c r="C52" s="19" t="s">
        <v>78</v>
      </c>
      <c r="D52" s="136"/>
      <c r="E52" s="426">
        <f>$D$10</f>
        <v>650000</v>
      </c>
      <c r="F52" s="426">
        <f>$D$10</f>
        <v>650000</v>
      </c>
      <c r="G52" s="426">
        <f>$D$10</f>
        <v>650000</v>
      </c>
      <c r="H52" s="426">
        <f>$D$10</f>
        <v>650000</v>
      </c>
      <c r="I52" s="426">
        <f>$D$10</f>
        <v>650000</v>
      </c>
      <c r="J52" s="22"/>
    </row>
    <row r="53" spans="2:10" ht="15.75" customHeight="1" x14ac:dyDescent="0.2">
      <c r="B53" s="70"/>
      <c r="C53" s="19" t="s">
        <v>5</v>
      </c>
      <c r="D53" s="136"/>
      <c r="E53" s="81">
        <f>$D$8/$D$17</f>
        <v>420000</v>
      </c>
      <c r="F53" s="81">
        <f>$D$8/$D$17</f>
        <v>420000</v>
      </c>
      <c r="G53" s="81">
        <f>$D$8/$D$17</f>
        <v>420000</v>
      </c>
      <c r="H53" s="81">
        <f>$D$8/$D$17</f>
        <v>420000</v>
      </c>
      <c r="I53" s="81">
        <f>$D$8/$D$17</f>
        <v>420000</v>
      </c>
      <c r="J53" s="22"/>
    </row>
    <row r="54" spans="2:10" ht="15.75" customHeight="1" x14ac:dyDescent="0.2">
      <c r="B54" s="70"/>
      <c r="C54" s="19" t="s">
        <v>109</v>
      </c>
      <c r="D54" s="136"/>
      <c r="E54" s="78">
        <f>E50-E51-E52-E53</f>
        <v>208759.58013094496</v>
      </c>
      <c r="F54" s="78">
        <f>F50-F51-F52-F53</f>
        <v>208759.58013094496</v>
      </c>
      <c r="G54" s="78">
        <f>G50-G51-G52-G53</f>
        <v>208759.58013094496</v>
      </c>
      <c r="H54" s="78">
        <f>H50-H51-H52-H53</f>
        <v>208759.58013094496</v>
      </c>
      <c r="I54" s="78">
        <f>I50-I51-I52-I53</f>
        <v>208759.58013094496</v>
      </c>
      <c r="J54" s="22"/>
    </row>
    <row r="55" spans="2:10" ht="15.75" customHeight="1" x14ac:dyDescent="0.2">
      <c r="B55" s="70"/>
      <c r="C55" s="19" t="s">
        <v>76</v>
      </c>
      <c r="D55" s="136"/>
      <c r="E55" s="81">
        <f>E54*$D$14</f>
        <v>43839.511827498442</v>
      </c>
      <c r="F55" s="81">
        <f>F54*$D$14</f>
        <v>43839.511827498442</v>
      </c>
      <c r="G55" s="81">
        <f>G54*$D$14</f>
        <v>43839.511827498442</v>
      </c>
      <c r="H55" s="81">
        <f>H54*$D$14</f>
        <v>43839.511827498442</v>
      </c>
      <c r="I55" s="81">
        <f>I54*$D$14</f>
        <v>43839.511827498442</v>
      </c>
      <c r="J55" s="22"/>
    </row>
    <row r="56" spans="2:10" ht="15.75" customHeight="1" x14ac:dyDescent="0.2">
      <c r="B56" s="70"/>
      <c r="C56" s="19" t="s">
        <v>110</v>
      </c>
      <c r="D56" s="136"/>
      <c r="E56" s="78">
        <f>E54-E55</f>
        <v>164920.06830344652</v>
      </c>
      <c r="F56" s="78">
        <f>F54-F55</f>
        <v>164920.06830344652</v>
      </c>
      <c r="G56" s="78">
        <f>G54-G55</f>
        <v>164920.06830344652</v>
      </c>
      <c r="H56" s="78">
        <f>H54-H55</f>
        <v>164920.06830344652</v>
      </c>
      <c r="I56" s="78">
        <f>I54-I55</f>
        <v>164920.06830344652</v>
      </c>
      <c r="J56" s="22"/>
    </row>
    <row r="57" spans="2:10" ht="15.75" customHeight="1" x14ac:dyDescent="0.2">
      <c r="B57" s="70"/>
      <c r="C57" s="19" t="s">
        <v>5</v>
      </c>
      <c r="D57" s="136"/>
      <c r="E57" s="79">
        <f>E53</f>
        <v>420000</v>
      </c>
      <c r="F57" s="79">
        <f>F53</f>
        <v>420000</v>
      </c>
      <c r="G57" s="79">
        <f>G53</f>
        <v>420000</v>
      </c>
      <c r="H57" s="79">
        <f>H53</f>
        <v>420000</v>
      </c>
      <c r="I57" s="79">
        <f>I53</f>
        <v>420000</v>
      </c>
      <c r="J57" s="22"/>
    </row>
    <row r="58" spans="2:10" ht="15.75" customHeight="1" thickBot="1" x14ac:dyDescent="0.25">
      <c r="B58" s="70"/>
      <c r="C58" s="19" t="s">
        <v>111</v>
      </c>
      <c r="D58" s="136"/>
      <c r="E58" s="125">
        <f>E56+E57</f>
        <v>584920.06830344652</v>
      </c>
      <c r="F58" s="125">
        <f>F56+F57</f>
        <v>584920.06830344652</v>
      </c>
      <c r="G58" s="125">
        <f>G56+G57</f>
        <v>584920.06830344652</v>
      </c>
      <c r="H58" s="125">
        <f>H56+H57</f>
        <v>584920.06830344652</v>
      </c>
      <c r="I58" s="125">
        <f>I56+I57</f>
        <v>584920.06830344652</v>
      </c>
      <c r="J58" s="22"/>
    </row>
    <row r="59" spans="2:10" ht="15.75" customHeight="1" thickTop="1" x14ac:dyDescent="0.2">
      <c r="B59" s="70"/>
      <c r="C59" s="19"/>
      <c r="D59" s="136"/>
      <c r="E59" s="78"/>
      <c r="F59" s="78"/>
      <c r="G59" s="78"/>
      <c r="H59" s="78"/>
      <c r="I59" s="78"/>
      <c r="J59" s="22"/>
    </row>
    <row r="60" spans="2:10" ht="15.75" customHeight="1" x14ac:dyDescent="0.2">
      <c r="B60" s="70"/>
      <c r="C60" s="157" t="s">
        <v>112</v>
      </c>
      <c r="D60" s="140"/>
      <c r="E60" s="140"/>
      <c r="F60" s="140"/>
      <c r="G60" s="140"/>
      <c r="H60" s="140"/>
      <c r="I60" s="140"/>
      <c r="J60" s="22"/>
    </row>
    <row r="61" spans="2:10" ht="15.75" customHeight="1" x14ac:dyDescent="0.2">
      <c r="B61" s="70"/>
      <c r="C61" s="19" t="s">
        <v>111</v>
      </c>
      <c r="D61" s="95">
        <v>0</v>
      </c>
      <c r="E61" s="95">
        <f>E58</f>
        <v>584920.06830344652</v>
      </c>
      <c r="F61" s="95">
        <f>F58</f>
        <v>584920.06830344652</v>
      </c>
      <c r="G61" s="95">
        <f>G58</f>
        <v>584920.06830344652</v>
      </c>
      <c r="H61" s="95">
        <f>H58</f>
        <v>584920.06830344652</v>
      </c>
      <c r="I61" s="95">
        <f>I58</f>
        <v>584920.06830344652</v>
      </c>
      <c r="J61" s="22"/>
    </row>
    <row r="62" spans="2:10" ht="15.75" customHeight="1" x14ac:dyDescent="0.2">
      <c r="B62" s="70"/>
      <c r="C62" s="19" t="s">
        <v>113</v>
      </c>
      <c r="D62" s="138">
        <f>-$D$13</f>
        <v>-325000</v>
      </c>
      <c r="E62" s="138">
        <f>(E50-F50)</f>
        <v>0</v>
      </c>
      <c r="F62" s="138">
        <f>(F50-G50)</f>
        <v>0</v>
      </c>
      <c r="G62" s="138">
        <f>(G50-H50)</f>
        <v>0</v>
      </c>
      <c r="H62" s="138">
        <f>(H50-I50)</f>
        <v>0</v>
      </c>
      <c r="I62" s="138">
        <f>$D$13</f>
        <v>325000</v>
      </c>
      <c r="J62" s="22"/>
    </row>
    <row r="63" spans="2:10" ht="15.75" customHeight="1" x14ac:dyDescent="0.2">
      <c r="B63" s="70"/>
      <c r="C63" s="19" t="s">
        <v>114</v>
      </c>
      <c r="D63" s="138">
        <f>-$D$8</f>
        <v>-2100000</v>
      </c>
      <c r="E63" s="138">
        <v>0</v>
      </c>
      <c r="F63" s="138">
        <v>0</v>
      </c>
      <c r="G63" s="138">
        <v>0</v>
      </c>
      <c r="H63" s="138">
        <v>0</v>
      </c>
      <c r="I63" s="138">
        <f>$D$24</f>
        <v>118500</v>
      </c>
      <c r="J63" s="22"/>
    </row>
    <row r="64" spans="2:10" ht="15.75" customHeight="1" thickBot="1" x14ac:dyDescent="0.25">
      <c r="B64" s="70"/>
      <c r="C64" s="19" t="s">
        <v>115</v>
      </c>
      <c r="D64" s="158">
        <f t="shared" ref="D64:I64" si="1">D61+D62+D63</f>
        <v>-2425000</v>
      </c>
      <c r="E64" s="159">
        <f t="shared" si="1"/>
        <v>584920.06830344652</v>
      </c>
      <c r="F64" s="159">
        <f t="shared" si="1"/>
        <v>584920.06830344652</v>
      </c>
      <c r="G64" s="159">
        <f t="shared" si="1"/>
        <v>584920.06830344652</v>
      </c>
      <c r="H64" s="159">
        <f t="shared" si="1"/>
        <v>584920.06830344652</v>
      </c>
      <c r="I64" s="159">
        <f t="shared" si="1"/>
        <v>1028420.0683034465</v>
      </c>
      <c r="J64" s="22"/>
    </row>
    <row r="65" spans="2:10" ht="15.75" customHeight="1" thickTop="1" x14ac:dyDescent="0.2">
      <c r="B65" s="70"/>
      <c r="C65" s="19"/>
      <c r="D65" s="140"/>
      <c r="E65" s="140"/>
      <c r="F65" s="140"/>
      <c r="G65" s="140"/>
      <c r="H65" s="140"/>
      <c r="I65" s="140"/>
      <c r="J65" s="22"/>
    </row>
    <row r="66" spans="2:10" ht="15.75" customHeight="1" x14ac:dyDescent="0.25">
      <c r="B66" s="70"/>
      <c r="C66" s="19" t="s">
        <v>116</v>
      </c>
      <c r="D66" s="137">
        <f>NPV(D15,E64:I64)+D64</f>
        <v>0</v>
      </c>
      <c r="E66" s="168"/>
      <c r="F66" s="146"/>
      <c r="G66" s="146"/>
      <c r="H66" s="146"/>
      <c r="I66" s="146"/>
      <c r="J66" s="22"/>
    </row>
    <row r="67" spans="2:10" ht="15.75" customHeight="1" x14ac:dyDescent="0.25">
      <c r="B67" s="70"/>
      <c r="C67" s="19"/>
      <c r="D67" s="160"/>
      <c r="E67" s="146"/>
      <c r="F67" s="146"/>
      <c r="G67" s="146"/>
      <c r="H67" s="146"/>
      <c r="I67" s="146"/>
      <c r="J67" s="22"/>
    </row>
    <row r="68" spans="2:10" ht="15.75" customHeight="1" x14ac:dyDescent="0.2">
      <c r="B68" s="165" t="s">
        <v>127</v>
      </c>
      <c r="C68" s="19" t="s">
        <v>80</v>
      </c>
      <c r="D68" s="140">
        <f>PV($D$15,$D$17,0,-($D$13+$D$24))+$D$41</f>
        <v>-2161804.3360060295</v>
      </c>
      <c r="E68" s="146"/>
      <c r="F68" s="146"/>
      <c r="G68" s="146"/>
      <c r="H68" s="146"/>
      <c r="I68" s="146"/>
      <c r="J68" s="22"/>
    </row>
    <row r="69" spans="2:10" ht="15.75" customHeight="1" x14ac:dyDescent="0.2">
      <c r="B69" s="70"/>
      <c r="C69" s="19" t="s">
        <v>89</v>
      </c>
      <c r="D69" s="166">
        <f>PMT(D15,D17,D68,0,0)</f>
        <v>584920.06830344652</v>
      </c>
      <c r="E69" s="146"/>
      <c r="F69" s="146"/>
      <c r="G69" s="146"/>
      <c r="H69" s="146"/>
      <c r="I69" s="146"/>
      <c r="J69" s="22"/>
    </row>
    <row r="70" spans="2:10" ht="15.75" customHeight="1" x14ac:dyDescent="0.25">
      <c r="B70" s="70"/>
      <c r="C70" s="19" t="s">
        <v>128</v>
      </c>
      <c r="D70" s="169">
        <f>-(((D69-(D14*(D8/D17)))/(1-D14))-((D18-D12)*D7))</f>
        <v>900990.41986905504</v>
      </c>
      <c r="E70" s="146"/>
      <c r="F70" s="146"/>
      <c r="G70" s="146"/>
      <c r="H70" s="146"/>
      <c r="I70" s="146"/>
      <c r="J70" s="22"/>
    </row>
    <row r="71" spans="2:10" ht="15.75" customHeight="1" x14ac:dyDescent="0.25">
      <c r="B71" s="70"/>
      <c r="C71" s="19"/>
      <c r="D71" s="160"/>
      <c r="E71" s="146"/>
      <c r="F71" s="146"/>
      <c r="G71" s="146"/>
      <c r="H71" s="146"/>
      <c r="I71" s="146"/>
      <c r="J71" s="22"/>
    </row>
    <row r="72" spans="2:10" ht="15.75" customHeight="1" x14ac:dyDescent="0.2">
      <c r="B72" s="70"/>
      <c r="C72" s="156" t="s">
        <v>23</v>
      </c>
      <c r="D72" s="155">
        <v>0</v>
      </c>
      <c r="E72" s="155">
        <v>1</v>
      </c>
      <c r="F72" s="155">
        <v>2</v>
      </c>
      <c r="G72" s="155">
        <v>3</v>
      </c>
      <c r="H72" s="155">
        <v>4</v>
      </c>
      <c r="I72" s="155">
        <v>5</v>
      </c>
      <c r="J72" s="22"/>
    </row>
    <row r="73" spans="2:10" ht="15.75" customHeight="1" x14ac:dyDescent="0.2">
      <c r="B73" s="70"/>
      <c r="C73" s="19" t="s">
        <v>10</v>
      </c>
      <c r="D73" s="136"/>
      <c r="E73" s="78">
        <f>$D$7*$D$18</f>
        <v>2900000</v>
      </c>
      <c r="F73" s="78">
        <f>$D$7*$D$18</f>
        <v>2900000</v>
      </c>
      <c r="G73" s="78">
        <f>$D$7*$D$18</f>
        <v>2900000</v>
      </c>
      <c r="H73" s="78">
        <f>$D$7*$D$18</f>
        <v>2900000</v>
      </c>
      <c r="I73" s="78">
        <f>$D$7*$D$18</f>
        <v>2900000</v>
      </c>
      <c r="J73" s="22"/>
    </row>
    <row r="74" spans="2:10" ht="15.75" customHeight="1" x14ac:dyDescent="0.2">
      <c r="B74" s="70"/>
      <c r="C74" s="19" t="s">
        <v>77</v>
      </c>
      <c r="D74" s="136"/>
      <c r="E74" s="79">
        <f>$D$7*$D$12</f>
        <v>1370250</v>
      </c>
      <c r="F74" s="79">
        <f>$D$7*$D$12</f>
        <v>1370250</v>
      </c>
      <c r="G74" s="79">
        <f>$D$7*$D$12</f>
        <v>1370250</v>
      </c>
      <c r="H74" s="79">
        <f>$D$7*$D$12</f>
        <v>1370250</v>
      </c>
      <c r="I74" s="79">
        <f>$D$7*$D$12</f>
        <v>1370250</v>
      </c>
      <c r="J74" s="22"/>
    </row>
    <row r="75" spans="2:10" ht="15.75" customHeight="1" x14ac:dyDescent="0.25">
      <c r="B75" s="70"/>
      <c r="C75" s="19" t="s">
        <v>78</v>
      </c>
      <c r="D75" s="136"/>
      <c r="E75" s="426">
        <f>$D$70</f>
        <v>900990.41986905504</v>
      </c>
      <c r="F75" s="426">
        <f>$D$70</f>
        <v>900990.41986905504</v>
      </c>
      <c r="G75" s="426">
        <f>$D$70</f>
        <v>900990.41986905504</v>
      </c>
      <c r="H75" s="426">
        <f>$D$70</f>
        <v>900990.41986905504</v>
      </c>
      <c r="I75" s="426">
        <f>$D$70</f>
        <v>900990.41986905504</v>
      </c>
      <c r="J75" s="22"/>
    </row>
    <row r="76" spans="2:10" ht="15.75" customHeight="1" x14ac:dyDescent="0.2">
      <c r="B76" s="70"/>
      <c r="C76" s="19" t="s">
        <v>5</v>
      </c>
      <c r="D76" s="136"/>
      <c r="E76" s="81">
        <f>$D$8/$D$17</f>
        <v>420000</v>
      </c>
      <c r="F76" s="81">
        <f>$D$8/$D$17</f>
        <v>420000</v>
      </c>
      <c r="G76" s="81">
        <f>$D$8/$D$17</f>
        <v>420000</v>
      </c>
      <c r="H76" s="81">
        <f>$D$8/$D$17</f>
        <v>420000</v>
      </c>
      <c r="I76" s="81">
        <f>$D$8/$D$17</f>
        <v>420000</v>
      </c>
      <c r="J76" s="22"/>
    </row>
    <row r="77" spans="2:10" ht="15.75" customHeight="1" x14ac:dyDescent="0.2">
      <c r="B77" s="70"/>
      <c r="C77" s="19" t="s">
        <v>109</v>
      </c>
      <c r="D77" s="136"/>
      <c r="E77" s="78">
        <f>E73-E74-E75-E76</f>
        <v>208759.58013094496</v>
      </c>
      <c r="F77" s="78">
        <f>F73-F74-F75-F76</f>
        <v>208759.58013094496</v>
      </c>
      <c r="G77" s="78">
        <f>G73-G74-G75-G76</f>
        <v>208759.58013094496</v>
      </c>
      <c r="H77" s="78">
        <f>H73-H74-H75-H76</f>
        <v>208759.58013094496</v>
      </c>
      <c r="I77" s="78">
        <f>I73-I74-I75-I76</f>
        <v>208759.58013094496</v>
      </c>
      <c r="J77" s="22"/>
    </row>
    <row r="78" spans="2:10" ht="15.75" customHeight="1" x14ac:dyDescent="0.2">
      <c r="B78" s="70"/>
      <c r="C78" s="19" t="s">
        <v>76</v>
      </c>
      <c r="D78" s="136"/>
      <c r="E78" s="81">
        <f>E77*$D$14</f>
        <v>43839.511827498442</v>
      </c>
      <c r="F78" s="81">
        <f>F77*$D$14</f>
        <v>43839.511827498442</v>
      </c>
      <c r="G78" s="81">
        <f>G77*$D$14</f>
        <v>43839.511827498442</v>
      </c>
      <c r="H78" s="81">
        <f>H77*$D$14</f>
        <v>43839.511827498442</v>
      </c>
      <c r="I78" s="81">
        <f>I77*$D$14</f>
        <v>43839.511827498442</v>
      </c>
      <c r="J78" s="22"/>
    </row>
    <row r="79" spans="2:10" ht="15.75" customHeight="1" x14ac:dyDescent="0.2">
      <c r="B79" s="70"/>
      <c r="C79" s="19" t="s">
        <v>110</v>
      </c>
      <c r="D79" s="136"/>
      <c r="E79" s="78">
        <f>E77-E78</f>
        <v>164920.06830344652</v>
      </c>
      <c r="F79" s="78">
        <f>F77-F78</f>
        <v>164920.06830344652</v>
      </c>
      <c r="G79" s="78">
        <f>G77-G78</f>
        <v>164920.06830344652</v>
      </c>
      <c r="H79" s="78">
        <f>H77-H78</f>
        <v>164920.06830344652</v>
      </c>
      <c r="I79" s="78">
        <f>I77-I78</f>
        <v>164920.06830344652</v>
      </c>
      <c r="J79" s="22"/>
    </row>
    <row r="80" spans="2:10" ht="15.75" customHeight="1" x14ac:dyDescent="0.2">
      <c r="B80" s="70"/>
      <c r="C80" s="19" t="s">
        <v>5</v>
      </c>
      <c r="D80" s="136"/>
      <c r="E80" s="79">
        <f>E76</f>
        <v>420000</v>
      </c>
      <c r="F80" s="79">
        <f>F76</f>
        <v>420000</v>
      </c>
      <c r="G80" s="79">
        <f>G76</f>
        <v>420000</v>
      </c>
      <c r="H80" s="79">
        <f>H76</f>
        <v>420000</v>
      </c>
      <c r="I80" s="79">
        <f>I76</f>
        <v>420000</v>
      </c>
      <c r="J80" s="22"/>
    </row>
    <row r="81" spans="2:10" ht="15.75" customHeight="1" thickBot="1" x14ac:dyDescent="0.25">
      <c r="B81" s="70"/>
      <c r="C81" s="19" t="s">
        <v>111</v>
      </c>
      <c r="D81" s="136"/>
      <c r="E81" s="125">
        <f>E79+E80</f>
        <v>584920.06830344652</v>
      </c>
      <c r="F81" s="125">
        <f>F79+F80</f>
        <v>584920.06830344652</v>
      </c>
      <c r="G81" s="125">
        <f>G79+G80</f>
        <v>584920.06830344652</v>
      </c>
      <c r="H81" s="125">
        <f>H79+H80</f>
        <v>584920.06830344652</v>
      </c>
      <c r="I81" s="125">
        <f>I79+I80</f>
        <v>584920.06830344652</v>
      </c>
      <c r="J81" s="22"/>
    </row>
    <row r="82" spans="2:10" ht="15.75" customHeight="1" thickTop="1" x14ac:dyDescent="0.2">
      <c r="B82" s="70"/>
      <c r="C82" s="19"/>
      <c r="D82" s="136"/>
      <c r="E82" s="78"/>
      <c r="F82" s="78"/>
      <c r="G82" s="78"/>
      <c r="H82" s="78"/>
      <c r="I82" s="78"/>
      <c r="J82" s="22"/>
    </row>
    <row r="83" spans="2:10" ht="15.75" customHeight="1" x14ac:dyDescent="0.2">
      <c r="B83" s="70"/>
      <c r="C83" s="157" t="s">
        <v>112</v>
      </c>
      <c r="D83" s="140"/>
      <c r="E83" s="140"/>
      <c r="F83" s="140"/>
      <c r="G83" s="140"/>
      <c r="H83" s="140"/>
      <c r="I83" s="140"/>
      <c r="J83" s="22"/>
    </row>
    <row r="84" spans="2:10" ht="15.75" customHeight="1" x14ac:dyDescent="0.2">
      <c r="B84" s="70"/>
      <c r="C84" s="19" t="s">
        <v>111</v>
      </c>
      <c r="D84" s="95">
        <v>0</v>
      </c>
      <c r="E84" s="95">
        <f>E81</f>
        <v>584920.06830344652</v>
      </c>
      <c r="F84" s="95">
        <f>F81</f>
        <v>584920.06830344652</v>
      </c>
      <c r="G84" s="95">
        <f>G81</f>
        <v>584920.06830344652</v>
      </c>
      <c r="H84" s="95">
        <f>H81</f>
        <v>584920.06830344652</v>
      </c>
      <c r="I84" s="95">
        <f>I81</f>
        <v>584920.06830344652</v>
      </c>
      <c r="J84" s="22"/>
    </row>
    <row r="85" spans="2:10" ht="15.75" customHeight="1" x14ac:dyDescent="0.2">
      <c r="B85" s="70"/>
      <c r="C85" s="19" t="s">
        <v>113</v>
      </c>
      <c r="D85" s="138">
        <f>-$D$13</f>
        <v>-325000</v>
      </c>
      <c r="E85" s="138">
        <f>(E73-F73)</f>
        <v>0</v>
      </c>
      <c r="F85" s="138">
        <f>(F73-G73)</f>
        <v>0</v>
      </c>
      <c r="G85" s="138">
        <f>(G73-H73)</f>
        <v>0</v>
      </c>
      <c r="H85" s="138">
        <f>(H73-I73)</f>
        <v>0</v>
      </c>
      <c r="I85" s="138">
        <f>-D85</f>
        <v>325000</v>
      </c>
      <c r="J85" s="22"/>
    </row>
    <row r="86" spans="2:10" ht="15.75" customHeight="1" x14ac:dyDescent="0.2">
      <c r="B86" s="70"/>
      <c r="C86" s="19" t="s">
        <v>114</v>
      </c>
      <c r="D86" s="138">
        <f>-$D$8</f>
        <v>-2100000</v>
      </c>
      <c r="E86" s="138">
        <v>0</v>
      </c>
      <c r="F86" s="138">
        <v>0</v>
      </c>
      <c r="G86" s="138">
        <v>0</v>
      </c>
      <c r="H86" s="138">
        <v>0</v>
      </c>
      <c r="I86" s="138">
        <f>$D$24</f>
        <v>118500</v>
      </c>
      <c r="J86" s="22"/>
    </row>
    <row r="87" spans="2:10" ht="15.75" customHeight="1" thickBot="1" x14ac:dyDescent="0.25">
      <c r="B87" s="70"/>
      <c r="C87" s="19" t="s">
        <v>115</v>
      </c>
      <c r="D87" s="158">
        <f t="shared" ref="D87:I87" si="2">D84+D85+D86</f>
        <v>-2425000</v>
      </c>
      <c r="E87" s="159">
        <f t="shared" si="2"/>
        <v>584920.06830344652</v>
      </c>
      <c r="F87" s="159">
        <f t="shared" si="2"/>
        <v>584920.06830344652</v>
      </c>
      <c r="G87" s="159">
        <f t="shared" si="2"/>
        <v>584920.06830344652</v>
      </c>
      <c r="H87" s="159">
        <f t="shared" si="2"/>
        <v>584920.06830344652</v>
      </c>
      <c r="I87" s="159">
        <f t="shared" si="2"/>
        <v>1028420.0683034465</v>
      </c>
      <c r="J87" s="22"/>
    </row>
    <row r="88" spans="2:10" ht="15.75" customHeight="1" thickTop="1" x14ac:dyDescent="0.2">
      <c r="B88" s="70"/>
      <c r="C88" s="19"/>
      <c r="D88" s="140"/>
      <c r="E88" s="140"/>
      <c r="F88" s="140"/>
      <c r="G88" s="140"/>
      <c r="H88" s="140"/>
      <c r="I88" s="140"/>
      <c r="J88" s="22"/>
    </row>
    <row r="89" spans="2:10" ht="15.75" customHeight="1" x14ac:dyDescent="0.25">
      <c r="B89" s="70"/>
      <c r="C89" s="19" t="s">
        <v>116</v>
      </c>
      <c r="D89" s="137">
        <f>NPV(D15,E87:I87)+D87</f>
        <v>0</v>
      </c>
      <c r="E89" s="146"/>
      <c r="F89" s="146"/>
      <c r="G89" s="146"/>
      <c r="H89" s="146"/>
      <c r="I89" s="146"/>
      <c r="J89" s="22"/>
    </row>
    <row r="90" spans="2:10" ht="15.75" customHeight="1" thickBot="1" x14ac:dyDescent="0.25">
      <c r="B90" s="71"/>
      <c r="C90" s="53"/>
      <c r="D90" s="53"/>
      <c r="E90" s="53"/>
      <c r="F90" s="53"/>
      <c r="G90" s="53"/>
      <c r="H90" s="53"/>
      <c r="I90" s="53"/>
      <c r="J90" s="51"/>
    </row>
    <row r="91" spans="2:10" ht="15.75" customHeight="1" x14ac:dyDescent="0.2"/>
    <row r="92" spans="2:10" ht="15.75" customHeight="1" x14ac:dyDescent="0.2"/>
    <row r="93" spans="2:10" ht="15.75" customHeight="1" x14ac:dyDescent="0.2"/>
    <row r="94" spans="2:10" ht="15.75" customHeight="1" x14ac:dyDescent="0.2"/>
    <row r="95" spans="2:10" ht="15.75" customHeight="1" x14ac:dyDescent="0.2"/>
    <row r="96" spans="2:10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</sheetData>
  <phoneticPr fontId="0" type="noConversion"/>
  <pageMargins left="0.75" right="0.75" top="1" bottom="1" header="0.5" footer="0.5"/>
  <pageSetup scale="56" orientation="portrait" horizontalDpi="360" verticalDpi="360" r:id="rId1"/>
  <headerFooter alignWithMargins="0"/>
  <rowBreaks count="1" manualBreakCount="1">
    <brk id="71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3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7" width="19.42578125" customWidth="1"/>
    <col min="8" max="8" width="4.7109375" customWidth="1"/>
  </cols>
  <sheetData>
    <row r="1" spans="2:7" ht="18" x14ac:dyDescent="0.25">
      <c r="C1" s="1" t="s">
        <v>412</v>
      </c>
    </row>
    <row r="2" spans="2:7" ht="15.75" customHeight="1" x14ac:dyDescent="0.2">
      <c r="C2" s="3" t="s">
        <v>360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159</v>
      </c>
      <c r="D7" s="143">
        <v>18000</v>
      </c>
      <c r="E7" s="9"/>
      <c r="G7" s="57"/>
    </row>
    <row r="8" spans="2:7" ht="15.75" customHeight="1" x14ac:dyDescent="0.2">
      <c r="B8" s="8"/>
      <c r="C8" s="13" t="s">
        <v>160</v>
      </c>
      <c r="D8" s="83">
        <v>3600000</v>
      </c>
      <c r="E8" s="9"/>
      <c r="G8" s="57"/>
    </row>
    <row r="9" spans="2:7" ht="15.75" customHeight="1" x14ac:dyDescent="0.2">
      <c r="B9" s="8"/>
      <c r="C9" s="13" t="s">
        <v>87</v>
      </c>
      <c r="D9" s="83">
        <v>125000</v>
      </c>
      <c r="E9" s="9"/>
      <c r="G9" s="57"/>
    </row>
    <row r="10" spans="2:7" ht="15.75" customHeight="1" x14ac:dyDescent="0.2">
      <c r="B10" s="8"/>
      <c r="C10" s="13" t="s">
        <v>50</v>
      </c>
      <c r="D10" s="83">
        <v>250000</v>
      </c>
      <c r="E10" s="9"/>
      <c r="G10" s="57"/>
    </row>
    <row r="11" spans="2:7" ht="15.75" customHeight="1" x14ac:dyDescent="0.2">
      <c r="B11" s="8"/>
      <c r="C11" s="13" t="s">
        <v>78</v>
      </c>
      <c r="D11" s="83">
        <v>775000</v>
      </c>
      <c r="E11" s="9"/>
    </row>
    <row r="12" spans="2:7" ht="15.75" customHeight="1" x14ac:dyDescent="0.2">
      <c r="B12" s="8"/>
      <c r="C12" s="13" t="s">
        <v>161</v>
      </c>
      <c r="D12" s="83">
        <v>43</v>
      </c>
      <c r="E12" s="9"/>
    </row>
    <row r="13" spans="2:7" ht="15.75" customHeight="1" x14ac:dyDescent="0.2">
      <c r="B13" s="8"/>
      <c r="C13" s="13" t="s">
        <v>162</v>
      </c>
      <c r="D13" s="89">
        <v>4000</v>
      </c>
      <c r="E13" s="9"/>
    </row>
    <row r="14" spans="2:7" ht="15.75" customHeight="1" x14ac:dyDescent="0.2">
      <c r="B14" s="8"/>
      <c r="C14" s="13" t="s">
        <v>163</v>
      </c>
      <c r="D14" s="89">
        <v>12000</v>
      </c>
      <c r="E14" s="9"/>
    </row>
    <row r="15" spans="2:7" ht="15.75" customHeight="1" x14ac:dyDescent="0.2">
      <c r="B15" s="8"/>
      <c r="C15" s="13" t="s">
        <v>164</v>
      </c>
      <c r="D15" s="89">
        <v>14000</v>
      </c>
      <c r="E15" s="9"/>
    </row>
    <row r="16" spans="2:7" ht="15.75" customHeight="1" x14ac:dyDescent="0.2">
      <c r="B16" s="8"/>
      <c r="C16" s="13" t="s">
        <v>165</v>
      </c>
      <c r="D16" s="89">
        <v>7000</v>
      </c>
      <c r="E16" s="9"/>
    </row>
    <row r="17" spans="2:8" ht="15.75" customHeight="1" x14ac:dyDescent="0.2">
      <c r="B17" s="8"/>
      <c r="C17" s="13" t="s">
        <v>166</v>
      </c>
      <c r="D17" s="83">
        <v>135</v>
      </c>
      <c r="E17" s="9"/>
    </row>
    <row r="18" spans="2:8" ht="15.75" customHeight="1" x14ac:dyDescent="0.2">
      <c r="B18" s="8"/>
      <c r="C18" s="13" t="s">
        <v>6</v>
      </c>
      <c r="D18" s="151">
        <v>0.24</v>
      </c>
      <c r="E18" s="9"/>
    </row>
    <row r="19" spans="2:8" ht="15.75" customHeight="1" x14ac:dyDescent="0.2">
      <c r="B19" s="8"/>
      <c r="C19" s="13" t="s">
        <v>19</v>
      </c>
      <c r="D19" s="151">
        <v>0.13</v>
      </c>
      <c r="E19" s="9"/>
    </row>
    <row r="20" spans="2:8" ht="15.75" customHeight="1" x14ac:dyDescent="0.2">
      <c r="B20" s="8"/>
      <c r="C20" s="13" t="s">
        <v>167</v>
      </c>
      <c r="D20" s="83">
        <v>100000</v>
      </c>
      <c r="E20" s="9"/>
    </row>
    <row r="21" spans="2:8" ht="15.75" customHeight="1" thickBot="1" x14ac:dyDescent="0.25">
      <c r="B21" s="10"/>
      <c r="C21" s="65"/>
      <c r="D21" s="65"/>
      <c r="E21" s="12"/>
    </row>
    <row r="22" spans="2:8" ht="15.75" customHeight="1" x14ac:dyDescent="0.2">
      <c r="B22" s="64"/>
      <c r="E22" s="64"/>
    </row>
    <row r="23" spans="2:8" ht="15.75" customHeight="1" x14ac:dyDescent="0.2">
      <c r="C23" s="2" t="s">
        <v>2</v>
      </c>
    </row>
    <row r="24" spans="2:8" ht="15.75" customHeight="1" thickBot="1" x14ac:dyDescent="0.25"/>
    <row r="25" spans="2:8" ht="15.75" customHeight="1" x14ac:dyDescent="0.2">
      <c r="B25" s="68"/>
      <c r="C25" s="69"/>
      <c r="D25" s="69"/>
      <c r="E25" s="69"/>
      <c r="F25" s="69"/>
      <c r="G25" s="69"/>
      <c r="H25" s="154"/>
    </row>
    <row r="26" spans="2:8" ht="15.75" customHeight="1" x14ac:dyDescent="0.2">
      <c r="B26" s="70"/>
      <c r="C26" s="19" t="s">
        <v>168</v>
      </c>
      <c r="D26" s="218">
        <v>1</v>
      </c>
      <c r="E26" s="219">
        <v>2</v>
      </c>
      <c r="F26" s="219">
        <v>3</v>
      </c>
      <c r="G26" s="219">
        <v>4</v>
      </c>
      <c r="H26" s="22"/>
    </row>
    <row r="27" spans="2:8" ht="15.75" customHeight="1" x14ac:dyDescent="0.2">
      <c r="B27" s="70"/>
      <c r="C27" s="19" t="s">
        <v>10</v>
      </c>
      <c r="D27" s="95">
        <f>D13*D17</f>
        <v>540000</v>
      </c>
      <c r="E27" s="95">
        <f>D14*D17</f>
        <v>1620000</v>
      </c>
      <c r="F27" s="95">
        <f>D15*D17</f>
        <v>1890000</v>
      </c>
      <c r="G27" s="95">
        <f>D16*D17</f>
        <v>945000</v>
      </c>
      <c r="H27" s="22"/>
    </row>
    <row r="28" spans="2:8" ht="15.75" customHeight="1" x14ac:dyDescent="0.2">
      <c r="B28" s="165"/>
      <c r="C28" s="19" t="s">
        <v>77</v>
      </c>
      <c r="D28" s="221">
        <f>D13*D12</f>
        <v>172000</v>
      </c>
      <c r="E28" s="221">
        <f>D14*D12</f>
        <v>516000</v>
      </c>
      <c r="F28" s="221">
        <f>D15*D12</f>
        <v>602000</v>
      </c>
      <c r="G28" s="221">
        <f>D16*D12</f>
        <v>301000</v>
      </c>
      <c r="H28" s="22"/>
    </row>
    <row r="29" spans="2:8" ht="15.75" customHeight="1" x14ac:dyDescent="0.2">
      <c r="B29" s="70"/>
      <c r="C29" s="19" t="s">
        <v>8</v>
      </c>
      <c r="D29" s="95">
        <f>D27-D28</f>
        <v>368000</v>
      </c>
      <c r="E29" s="95">
        <f>E27-E28</f>
        <v>1104000</v>
      </c>
      <c r="F29" s="95">
        <f>F27-F28</f>
        <v>1288000</v>
      </c>
      <c r="G29" s="95">
        <f>G27-G28</f>
        <v>644000</v>
      </c>
      <c r="H29" s="22"/>
    </row>
    <row r="30" spans="2:8" ht="15.75" customHeight="1" x14ac:dyDescent="0.2">
      <c r="B30" s="70"/>
      <c r="C30" s="19" t="s">
        <v>150</v>
      </c>
      <c r="D30" s="138">
        <f>D29*$D$18</f>
        <v>88320</v>
      </c>
      <c r="E30" s="138">
        <f>E29*$D$18</f>
        <v>264960</v>
      </c>
      <c r="F30" s="138">
        <f>F29*$D$18</f>
        <v>309120</v>
      </c>
      <c r="G30" s="138">
        <f>G29*$D$18</f>
        <v>154560</v>
      </c>
      <c r="H30" s="22"/>
    </row>
    <row r="31" spans="2:8" ht="15.75" customHeight="1" thickBot="1" x14ac:dyDescent="0.25">
      <c r="B31" s="70"/>
      <c r="C31" s="19" t="s">
        <v>169</v>
      </c>
      <c r="D31" s="158">
        <f>D29-D30</f>
        <v>279680</v>
      </c>
      <c r="E31" s="158">
        <f>E29-E30</f>
        <v>839040</v>
      </c>
      <c r="F31" s="158">
        <f>F29-F30</f>
        <v>978880</v>
      </c>
      <c r="G31" s="158">
        <f>G29-G30</f>
        <v>489440</v>
      </c>
      <c r="H31" s="22"/>
    </row>
    <row r="32" spans="2:8" ht="15.75" customHeight="1" thickTop="1" x14ac:dyDescent="0.2">
      <c r="B32" s="70"/>
      <c r="C32" s="19"/>
      <c r="D32" s="220"/>
      <c r="E32" s="138"/>
      <c r="F32" s="138"/>
      <c r="G32" s="138"/>
      <c r="H32" s="22"/>
    </row>
    <row r="33" spans="2:8" ht="15.75" customHeight="1" x14ac:dyDescent="0.2">
      <c r="B33" s="70"/>
      <c r="C33" s="19" t="s">
        <v>170</v>
      </c>
      <c r="D33" s="85">
        <f>NPV(D19,D31,E31,F31,G31)</f>
        <v>1883191.4789224956</v>
      </c>
      <c r="E33" s="79"/>
      <c r="F33" s="79"/>
      <c r="G33" s="79"/>
      <c r="H33" s="22"/>
    </row>
    <row r="34" spans="2:8" ht="15.75" customHeight="1" x14ac:dyDescent="0.2">
      <c r="B34" s="70"/>
      <c r="C34" s="19" t="s">
        <v>30</v>
      </c>
      <c r="D34" s="78">
        <f>D8+D9</f>
        <v>3725000</v>
      </c>
      <c r="E34" s="79"/>
      <c r="F34" s="79"/>
      <c r="G34" s="79"/>
      <c r="H34" s="22"/>
    </row>
    <row r="35" spans="2:8" ht="15.75" customHeight="1" x14ac:dyDescent="0.2">
      <c r="B35" s="70"/>
      <c r="C35" s="19" t="s">
        <v>27</v>
      </c>
      <c r="D35" s="78">
        <f>D10*(1-D18)</f>
        <v>190000</v>
      </c>
      <c r="E35" s="79"/>
      <c r="F35" s="79"/>
      <c r="G35" s="79"/>
      <c r="H35" s="22"/>
    </row>
    <row r="36" spans="2:8" ht="15.75" customHeight="1" x14ac:dyDescent="0.2">
      <c r="B36" s="70"/>
      <c r="C36" s="19"/>
      <c r="D36" s="136"/>
      <c r="E36" s="78"/>
      <c r="F36" s="78"/>
      <c r="G36" s="78"/>
      <c r="H36" s="22"/>
    </row>
    <row r="37" spans="2:8" ht="15.75" customHeight="1" x14ac:dyDescent="0.2">
      <c r="B37" s="70"/>
      <c r="C37" s="19" t="s">
        <v>171</v>
      </c>
      <c r="D37" s="222">
        <f>D20+D34-D33+PV(D19,4,0,D35+D9)</f>
        <v>1748613.1218585006</v>
      </c>
      <c r="E37" s="78"/>
      <c r="F37" s="78"/>
      <c r="G37" s="78"/>
      <c r="H37" s="22"/>
    </row>
    <row r="38" spans="2:8" ht="15.75" customHeight="1" x14ac:dyDescent="0.2">
      <c r="B38" s="70"/>
      <c r="C38" s="19" t="s">
        <v>11</v>
      </c>
      <c r="D38" s="140">
        <f>PMT(D19,4,-D37)</f>
        <v>587873.58507789066</v>
      </c>
      <c r="E38" s="140"/>
      <c r="F38" s="140"/>
      <c r="G38" s="140"/>
      <c r="H38" s="22"/>
    </row>
    <row r="39" spans="2:8" ht="15.75" customHeight="1" x14ac:dyDescent="0.2">
      <c r="B39" s="70"/>
      <c r="C39" s="19"/>
      <c r="D39" s="140"/>
      <c r="E39" s="95"/>
      <c r="F39" s="95"/>
      <c r="G39" s="95"/>
      <c r="H39" s="22"/>
    </row>
    <row r="40" spans="2:8" ht="15.75" customHeight="1" x14ac:dyDescent="0.25">
      <c r="B40" s="70"/>
      <c r="C40" s="19" t="s">
        <v>91</v>
      </c>
      <c r="D40" s="137">
        <f>((((D38-(D8/4)*D18)/(1-D18))+D11)/D7)+D12</f>
        <v>113.23929715481657</v>
      </c>
      <c r="E40" s="138"/>
      <c r="F40" s="138"/>
      <c r="G40" s="138"/>
      <c r="H40" s="22"/>
    </row>
    <row r="41" spans="2:8" ht="15.75" customHeight="1" thickBot="1" x14ac:dyDescent="0.25">
      <c r="B41" s="71"/>
      <c r="C41" s="53"/>
      <c r="D41" s="53"/>
      <c r="E41" s="53"/>
      <c r="F41" s="53"/>
      <c r="G41" s="53"/>
      <c r="H41" s="51"/>
    </row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phoneticPr fontId="0" type="noConversion"/>
  <pageMargins left="0.75" right="0.75" top="1" bottom="1" header="0.5" footer="0.5"/>
  <pageSetup scale="74" orientation="landscape" horizontalDpi="360" verticalDpi="36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7.28515625" bestFit="1" customWidth="1"/>
    <col min="4" max="4" width="18.140625" customWidth="1"/>
    <col min="5" max="5" width="3.140625" customWidth="1"/>
    <col min="6" max="6" width="18.140625" customWidth="1"/>
    <col min="7" max="7" width="17.7109375" customWidth="1"/>
    <col min="8" max="8" width="18.28515625" customWidth="1"/>
    <col min="9" max="9" width="18.140625" customWidth="1"/>
    <col min="10" max="10" width="18.42578125" customWidth="1"/>
    <col min="11" max="11" width="3.28515625" customWidth="1"/>
  </cols>
  <sheetData>
    <row r="1" spans="1:10" ht="18" x14ac:dyDescent="0.25">
      <c r="A1" s="3"/>
      <c r="B1" s="3"/>
      <c r="C1" s="1" t="s">
        <v>412</v>
      </c>
      <c r="D1" s="3"/>
      <c r="E1" s="3"/>
      <c r="F1" s="3"/>
      <c r="G1" s="3"/>
      <c r="H1" s="3"/>
      <c r="I1" s="3"/>
      <c r="J1" s="3"/>
    </row>
    <row r="2" spans="1:10" ht="15.75" customHeight="1" x14ac:dyDescent="0.2">
      <c r="A2" s="3"/>
      <c r="B2" s="3"/>
      <c r="C2" s="3" t="s">
        <v>334</v>
      </c>
      <c r="D2" s="3"/>
      <c r="E2" s="3"/>
      <c r="F2" s="3"/>
      <c r="G2" s="3"/>
      <c r="H2" s="3"/>
      <c r="I2" s="3"/>
      <c r="J2" s="3"/>
    </row>
    <row r="3" spans="1:10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customHeight="1" x14ac:dyDescent="0.2">
      <c r="A4" s="3"/>
      <c r="B4" s="3"/>
      <c r="C4" s="2" t="s">
        <v>130</v>
      </c>
      <c r="D4" s="3"/>
      <c r="E4" s="3"/>
      <c r="F4" s="3"/>
      <c r="G4" s="3"/>
      <c r="H4" s="3"/>
      <c r="I4" s="3"/>
      <c r="J4" s="3"/>
    </row>
    <row r="5" spans="1:10" ht="15.7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.75" customHeight="1" x14ac:dyDescent="0.2">
      <c r="A6" s="3"/>
      <c r="B6" s="109"/>
      <c r="C6" s="110"/>
      <c r="D6" s="172"/>
      <c r="E6" s="111"/>
      <c r="F6" s="3"/>
      <c r="G6" s="3"/>
      <c r="H6" s="3"/>
      <c r="I6" s="3"/>
      <c r="J6" s="3"/>
    </row>
    <row r="7" spans="1:10" ht="15.75" customHeight="1" x14ac:dyDescent="0.2">
      <c r="A7" s="3"/>
      <c r="B7" s="112"/>
      <c r="C7" s="113" t="s">
        <v>131</v>
      </c>
      <c r="D7" s="173">
        <v>450000</v>
      </c>
      <c r="E7" s="114"/>
      <c r="F7" s="3"/>
      <c r="G7" s="3"/>
      <c r="H7" s="3"/>
      <c r="I7" s="3"/>
      <c r="J7" s="3"/>
    </row>
    <row r="8" spans="1:10" ht="15.75" customHeight="1" x14ac:dyDescent="0.2">
      <c r="A8" s="3"/>
      <c r="B8" s="112"/>
      <c r="C8" s="113" t="s">
        <v>132</v>
      </c>
      <c r="D8" s="173">
        <v>580000</v>
      </c>
      <c r="E8" s="114"/>
      <c r="F8" s="3"/>
      <c r="G8" s="3"/>
      <c r="H8" s="3"/>
      <c r="I8" s="3"/>
      <c r="J8" s="3"/>
    </row>
    <row r="9" spans="1:10" ht="15.75" customHeight="1" x14ac:dyDescent="0.2">
      <c r="A9" s="3"/>
      <c r="B9" s="112"/>
      <c r="C9" s="113" t="s">
        <v>425</v>
      </c>
      <c r="D9" s="173">
        <v>130000</v>
      </c>
      <c r="E9" s="114"/>
      <c r="F9" s="3"/>
      <c r="G9" s="3"/>
      <c r="H9" s="3"/>
      <c r="I9" s="3"/>
      <c r="J9" s="3"/>
    </row>
    <row r="10" spans="1:10" ht="15.75" customHeight="1" x14ac:dyDescent="0.2">
      <c r="A10" s="3"/>
      <c r="B10" s="112"/>
      <c r="C10" s="113" t="s">
        <v>133</v>
      </c>
      <c r="D10" s="174">
        <v>5</v>
      </c>
      <c r="E10" s="114"/>
      <c r="F10" s="3"/>
      <c r="G10" s="3"/>
      <c r="H10" s="3"/>
      <c r="I10" s="3"/>
      <c r="J10" s="3"/>
    </row>
    <row r="11" spans="1:10" ht="15.75" customHeight="1" x14ac:dyDescent="0.2">
      <c r="A11" s="3"/>
      <c r="B11" s="112"/>
      <c r="C11" s="113" t="s">
        <v>134</v>
      </c>
      <c r="D11" s="387">
        <f>D7/D10</f>
        <v>90000</v>
      </c>
      <c r="E11" s="114"/>
      <c r="F11" s="3"/>
      <c r="G11" s="3"/>
      <c r="H11" s="3"/>
      <c r="I11" s="3"/>
      <c r="J11" s="3"/>
    </row>
    <row r="12" spans="1:10" ht="15.75" customHeight="1" x14ac:dyDescent="0.2">
      <c r="A12" s="3"/>
      <c r="B12" s="112"/>
      <c r="C12" s="113" t="s">
        <v>437</v>
      </c>
      <c r="D12" s="387">
        <f>D7-(2*D11)</f>
        <v>270000</v>
      </c>
      <c r="E12" s="114"/>
      <c r="F12" s="3"/>
      <c r="G12" s="3"/>
      <c r="H12" s="3"/>
      <c r="I12" s="3"/>
      <c r="J12" s="3"/>
    </row>
    <row r="13" spans="1:10" ht="15.75" customHeight="1" x14ac:dyDescent="0.2">
      <c r="A13" s="3"/>
      <c r="B13" s="112"/>
      <c r="C13" s="113" t="s">
        <v>135</v>
      </c>
      <c r="D13" s="173">
        <v>230000</v>
      </c>
      <c r="E13" s="114"/>
      <c r="F13" s="3"/>
      <c r="G13" s="3"/>
      <c r="H13" s="3"/>
      <c r="I13" s="3"/>
      <c r="J13" s="3"/>
    </row>
    <row r="14" spans="1:10" ht="15.75" customHeight="1" x14ac:dyDescent="0.2">
      <c r="A14" s="3"/>
      <c r="B14" s="112"/>
      <c r="C14" s="113" t="s">
        <v>136</v>
      </c>
      <c r="D14" s="173">
        <v>60000</v>
      </c>
      <c r="E14" s="114"/>
      <c r="F14" s="3"/>
      <c r="G14" s="3"/>
      <c r="H14" s="3"/>
      <c r="I14" s="3"/>
      <c r="J14" s="3"/>
    </row>
    <row r="15" spans="1:10" ht="15.75" customHeight="1" x14ac:dyDescent="0.2">
      <c r="A15" s="3"/>
      <c r="B15" s="112"/>
      <c r="C15" s="113" t="s">
        <v>137</v>
      </c>
      <c r="D15" s="173">
        <v>85000</v>
      </c>
      <c r="E15" s="114"/>
      <c r="F15" s="3"/>
      <c r="G15" s="3"/>
      <c r="H15" s="3"/>
      <c r="I15" s="3"/>
      <c r="J15" s="3"/>
    </row>
    <row r="16" spans="1:10" ht="15.75" customHeight="1" x14ac:dyDescent="0.2">
      <c r="A16" s="3"/>
      <c r="B16" s="112"/>
      <c r="C16" s="113" t="s">
        <v>31</v>
      </c>
      <c r="D16" s="151">
        <v>0.14000000000000001</v>
      </c>
      <c r="E16" s="114"/>
      <c r="F16" s="3"/>
      <c r="G16" s="3"/>
      <c r="H16" s="3"/>
      <c r="I16" s="3"/>
      <c r="J16" s="3"/>
    </row>
    <row r="17" spans="1:11" ht="15.75" customHeight="1" x14ac:dyDescent="0.2">
      <c r="A17" s="3"/>
      <c r="B17" s="112"/>
      <c r="C17" s="113" t="s">
        <v>6</v>
      </c>
      <c r="D17" s="151">
        <v>0.21</v>
      </c>
      <c r="E17" s="114"/>
      <c r="F17" s="3"/>
      <c r="G17" s="3"/>
      <c r="H17" s="3"/>
      <c r="I17" s="3"/>
      <c r="J17" s="3"/>
    </row>
    <row r="18" spans="1:11" ht="15.75" customHeight="1" thickBot="1" x14ac:dyDescent="0.25">
      <c r="A18" s="3"/>
      <c r="B18" s="115"/>
      <c r="C18" s="116"/>
      <c r="D18" s="175"/>
      <c r="E18" s="42"/>
      <c r="F18" s="3"/>
      <c r="G18" s="3"/>
      <c r="H18" s="3"/>
      <c r="I18" s="3"/>
      <c r="J18" s="3"/>
    </row>
    <row r="19" spans="1:11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ht="15.75" customHeight="1" x14ac:dyDescent="0.2">
      <c r="A20" s="3"/>
      <c r="B20" s="3"/>
      <c r="C20" s="2" t="s">
        <v>138</v>
      </c>
      <c r="D20" s="3"/>
      <c r="E20" s="3"/>
      <c r="F20" s="3"/>
      <c r="G20" s="3"/>
      <c r="H20" s="3"/>
      <c r="I20" s="3"/>
      <c r="J20" s="3"/>
    </row>
    <row r="21" spans="1:11" ht="15.75" customHeight="1" thickBo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1" ht="15.75" customHeight="1" x14ac:dyDescent="0.2">
      <c r="A22" s="3"/>
      <c r="B22" s="117"/>
      <c r="C22" s="118"/>
      <c r="D22" s="176"/>
      <c r="E22" s="118"/>
      <c r="F22" s="118"/>
      <c r="G22" s="118"/>
      <c r="H22" s="118"/>
      <c r="I22" s="118"/>
      <c r="J22" s="118"/>
      <c r="K22" s="177"/>
    </row>
    <row r="23" spans="1:11" ht="15.75" customHeight="1" x14ac:dyDescent="0.2">
      <c r="A23" s="3"/>
      <c r="B23" s="179" t="s">
        <v>124</v>
      </c>
      <c r="C23" s="180" t="s">
        <v>139</v>
      </c>
      <c r="D23" s="73"/>
      <c r="E23" s="66"/>
      <c r="F23" s="66"/>
      <c r="G23" s="66"/>
      <c r="H23" s="66"/>
      <c r="I23" s="66"/>
      <c r="J23" s="66"/>
      <c r="K23" s="178"/>
    </row>
    <row r="24" spans="1:11" ht="15.75" customHeight="1" x14ac:dyDescent="0.2">
      <c r="A24" s="3"/>
      <c r="B24" s="119"/>
      <c r="C24" s="66" t="s">
        <v>23</v>
      </c>
      <c r="D24" s="75">
        <v>0</v>
      </c>
      <c r="E24" s="75"/>
      <c r="F24" s="75">
        <v>1</v>
      </c>
      <c r="G24" s="75">
        <v>2</v>
      </c>
      <c r="H24" s="75">
        <v>3</v>
      </c>
      <c r="I24" s="75">
        <v>4</v>
      </c>
      <c r="J24" s="181">
        <v>5</v>
      </c>
      <c r="K24" s="178"/>
    </row>
    <row r="25" spans="1:11" ht="15.75" customHeight="1" x14ac:dyDescent="0.2">
      <c r="A25" s="3"/>
      <c r="B25" s="119"/>
      <c r="C25" s="66" t="s">
        <v>108</v>
      </c>
      <c r="D25" s="182">
        <f>D8</f>
        <v>580000</v>
      </c>
      <c r="E25" s="136"/>
      <c r="F25" s="182">
        <f>$D$8-(F24*($D$8/$D$10))</f>
        <v>464000</v>
      </c>
      <c r="G25" s="182">
        <f>$D$8-(G24*($D$8/$D$10))</f>
        <v>348000</v>
      </c>
      <c r="H25" s="182">
        <f>$D$8-(H24*($D$8/$D$10))</f>
        <v>232000</v>
      </c>
      <c r="I25" s="182">
        <f>$D$8-(I24*($D$8/$D$10))</f>
        <v>116000</v>
      </c>
      <c r="J25" s="182">
        <f>$D$8-(J24*($D$8/$D$10))</f>
        <v>0</v>
      </c>
      <c r="K25" s="178"/>
    </row>
    <row r="26" spans="1:11" ht="15.75" customHeight="1" x14ac:dyDescent="0.2">
      <c r="A26" s="3"/>
      <c r="B26" s="119"/>
      <c r="C26" s="66"/>
      <c r="D26" s="73"/>
      <c r="E26" s="66"/>
      <c r="F26" s="66"/>
      <c r="G26" s="66"/>
      <c r="H26" s="66"/>
      <c r="I26" s="66"/>
      <c r="J26" s="73"/>
      <c r="K26" s="178"/>
    </row>
    <row r="27" spans="1:11" ht="15.75" customHeight="1" x14ac:dyDescent="0.2">
      <c r="A27" s="3"/>
      <c r="B27" s="119"/>
      <c r="C27" s="66" t="s">
        <v>81</v>
      </c>
      <c r="D27" s="73"/>
      <c r="E27" s="66"/>
      <c r="F27" s="78">
        <f>$D$15*(1-$D$17)</f>
        <v>67150</v>
      </c>
      <c r="G27" s="78">
        <f>$D$15*(1-$D$17)</f>
        <v>67150</v>
      </c>
      <c r="H27" s="78">
        <f>$D$15*(1-$D$17)</f>
        <v>67150</v>
      </c>
      <c r="I27" s="78">
        <f>$D$15*(1-$D$17)</f>
        <v>67150</v>
      </c>
      <c r="J27" s="78">
        <f>$D$15*(1-$D$17)</f>
        <v>67150</v>
      </c>
      <c r="K27" s="178"/>
    </row>
    <row r="28" spans="1:11" ht="15.75" customHeight="1" x14ac:dyDescent="0.2">
      <c r="A28" s="3"/>
      <c r="B28" s="119"/>
      <c r="C28" s="66" t="s">
        <v>5</v>
      </c>
      <c r="D28" s="73"/>
      <c r="E28" s="66"/>
      <c r="F28" s="183">
        <f>($D$8/$D$10)*$D$17</f>
        <v>24360</v>
      </c>
      <c r="G28" s="183">
        <f>($D$8/$D$10)*$D$17</f>
        <v>24360</v>
      </c>
      <c r="H28" s="183">
        <f>($D$8/$D$10)*$D$17</f>
        <v>24360</v>
      </c>
      <c r="I28" s="183">
        <f>($D$8/$D$10)*$D$17</f>
        <v>24360</v>
      </c>
      <c r="J28" s="183">
        <f>($D$8/$D$10)*$D$17</f>
        <v>24360</v>
      </c>
      <c r="K28" s="178"/>
    </row>
    <row r="29" spans="1:11" ht="15.75" customHeight="1" x14ac:dyDescent="0.2">
      <c r="A29" s="3"/>
      <c r="B29" s="119"/>
      <c r="C29" s="66" t="s">
        <v>140</v>
      </c>
      <c r="D29" s="73"/>
      <c r="E29" s="73"/>
      <c r="F29" s="78">
        <f>F27+F28</f>
        <v>91510</v>
      </c>
      <c r="G29" s="78">
        <f>G27+G28</f>
        <v>91510</v>
      </c>
      <c r="H29" s="78">
        <f>H27+H28</f>
        <v>91510</v>
      </c>
      <c r="I29" s="78">
        <f>I27+I28</f>
        <v>91510</v>
      </c>
      <c r="J29" s="78">
        <f>J27+J28</f>
        <v>91510</v>
      </c>
      <c r="K29" s="178"/>
    </row>
    <row r="30" spans="1:11" ht="15.75" customHeight="1" x14ac:dyDescent="0.2">
      <c r="A30" s="3"/>
      <c r="B30" s="119"/>
      <c r="C30" s="66"/>
      <c r="D30" s="73"/>
      <c r="E30" s="66"/>
      <c r="F30" s="66"/>
      <c r="G30" s="66"/>
      <c r="H30" s="66"/>
      <c r="I30" s="66"/>
      <c r="J30" s="73"/>
      <c r="K30" s="178"/>
    </row>
    <row r="31" spans="1:11" ht="15.75" customHeight="1" x14ac:dyDescent="0.2">
      <c r="A31" s="3"/>
      <c r="B31" s="119"/>
      <c r="C31" s="66" t="s">
        <v>113</v>
      </c>
      <c r="D31" s="136">
        <v>0</v>
      </c>
      <c r="E31" s="136"/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78"/>
    </row>
    <row r="32" spans="1:11" ht="15.75" customHeight="1" x14ac:dyDescent="0.2">
      <c r="A32" s="3"/>
      <c r="B32" s="119"/>
      <c r="C32" s="66" t="s">
        <v>114</v>
      </c>
      <c r="D32" s="182">
        <f>-D8</f>
        <v>-580000</v>
      </c>
      <c r="E32" s="136"/>
      <c r="F32" s="136">
        <v>0</v>
      </c>
      <c r="G32" s="136">
        <v>0</v>
      </c>
      <c r="H32" s="136">
        <v>0</v>
      </c>
      <c r="I32" s="136">
        <v>0</v>
      </c>
      <c r="J32" s="78">
        <f>D9+((J25-D9)*D17)</f>
        <v>102700</v>
      </c>
      <c r="K32" s="178"/>
    </row>
    <row r="33" spans="1:11" ht="15.75" customHeight="1" thickBot="1" x14ac:dyDescent="0.25">
      <c r="A33" s="3"/>
      <c r="B33" s="119"/>
      <c r="C33" s="66" t="s">
        <v>115</v>
      </c>
      <c r="D33" s="184">
        <f>D32+D31+D29</f>
        <v>-580000</v>
      </c>
      <c r="E33" s="185"/>
      <c r="F33" s="125">
        <f>F31+F32+F29</f>
        <v>91510</v>
      </c>
      <c r="G33" s="125">
        <f>G31+G32+G29</f>
        <v>91510</v>
      </c>
      <c r="H33" s="125">
        <f>H31+H32+H29</f>
        <v>91510</v>
      </c>
      <c r="I33" s="125">
        <f>I31+I32+I29</f>
        <v>91510</v>
      </c>
      <c r="J33" s="125">
        <f>J29+J31+J32</f>
        <v>194210</v>
      </c>
      <c r="K33" s="178"/>
    </row>
    <row r="34" spans="1:11" ht="15.75" customHeight="1" thickTop="1" x14ac:dyDescent="0.2">
      <c r="A34" s="3"/>
      <c r="B34" s="119"/>
      <c r="C34" s="66"/>
      <c r="D34" s="186"/>
      <c r="E34" s="66"/>
      <c r="F34" s="66"/>
      <c r="G34" s="66"/>
      <c r="H34" s="66"/>
      <c r="I34" s="66"/>
      <c r="J34" s="73"/>
      <c r="K34" s="178"/>
    </row>
    <row r="35" spans="1:11" ht="15.75" customHeight="1" x14ac:dyDescent="0.2">
      <c r="A35" s="3"/>
      <c r="B35" s="119"/>
      <c r="C35" s="66" t="s">
        <v>116</v>
      </c>
      <c r="D35" s="187">
        <f>NPV(D16,F33:J33)+D33</f>
        <v>-212499.5987100093</v>
      </c>
      <c r="E35" s="66"/>
      <c r="F35" s="66"/>
      <c r="G35" s="66"/>
      <c r="H35" s="66"/>
      <c r="I35" s="66"/>
      <c r="J35" s="73"/>
      <c r="K35" s="178"/>
    </row>
    <row r="36" spans="1:11" ht="15.75" customHeight="1" x14ac:dyDescent="0.25">
      <c r="A36" s="3"/>
      <c r="B36" s="119"/>
      <c r="C36" s="66" t="s">
        <v>42</v>
      </c>
      <c r="D36" s="188">
        <f>-PMT(D16,D10,D35,0)</f>
        <v>-61897.636740175076</v>
      </c>
      <c r="E36" s="66"/>
      <c r="F36" s="66"/>
      <c r="G36" s="66"/>
      <c r="H36" s="66"/>
      <c r="I36" s="66"/>
      <c r="J36" s="73"/>
      <c r="K36" s="178"/>
    </row>
    <row r="37" spans="1:11" ht="15.75" customHeight="1" x14ac:dyDescent="0.2">
      <c r="A37" s="3"/>
      <c r="B37" s="119"/>
      <c r="C37" s="66"/>
      <c r="D37" s="189"/>
      <c r="E37" s="66"/>
      <c r="F37" s="66"/>
      <c r="G37" s="66"/>
      <c r="H37" s="66"/>
      <c r="I37" s="66"/>
      <c r="J37" s="73"/>
      <c r="K37" s="178"/>
    </row>
    <row r="38" spans="1:11" ht="15.75" customHeight="1" x14ac:dyDescent="0.2">
      <c r="A38" s="3"/>
      <c r="B38" s="119"/>
      <c r="C38" s="180" t="s">
        <v>141</v>
      </c>
      <c r="D38" s="73"/>
      <c r="E38" s="66"/>
      <c r="F38" s="66"/>
      <c r="G38" s="66"/>
      <c r="H38" s="66"/>
      <c r="I38" s="66"/>
      <c r="J38" s="73"/>
      <c r="K38" s="178"/>
    </row>
    <row r="39" spans="1:11" ht="15.75" customHeight="1" x14ac:dyDescent="0.2">
      <c r="A39" s="3"/>
      <c r="B39" s="119"/>
      <c r="C39" s="66" t="s">
        <v>23</v>
      </c>
      <c r="D39" s="75">
        <v>0</v>
      </c>
      <c r="E39" s="75"/>
      <c r="F39" s="75">
        <v>1</v>
      </c>
      <c r="G39" s="75">
        <v>2</v>
      </c>
      <c r="H39" s="75">
        <v>3</v>
      </c>
      <c r="I39" s="75">
        <v>4</v>
      </c>
      <c r="J39" s="75">
        <v>5</v>
      </c>
      <c r="K39" s="178"/>
    </row>
    <row r="40" spans="1:11" ht="15.75" customHeight="1" x14ac:dyDescent="0.2">
      <c r="A40" s="3"/>
      <c r="B40" s="119"/>
      <c r="C40" s="66" t="s">
        <v>108</v>
      </c>
      <c r="D40" s="136"/>
      <c r="E40" s="136"/>
      <c r="F40" s="182">
        <f>D12-D11</f>
        <v>180000</v>
      </c>
      <c r="G40" s="182">
        <f>F40-D11</f>
        <v>90000</v>
      </c>
      <c r="H40" s="190"/>
      <c r="I40" s="190"/>
      <c r="J40" s="190"/>
      <c r="K40" s="178"/>
    </row>
    <row r="41" spans="1:11" ht="15.75" customHeight="1" x14ac:dyDescent="0.2">
      <c r="A41" s="3"/>
      <c r="B41" s="119"/>
      <c r="C41" s="66"/>
      <c r="D41" s="136"/>
      <c r="E41" s="136"/>
      <c r="F41" s="136"/>
      <c r="G41" s="136"/>
      <c r="H41" s="73"/>
      <c r="I41" s="73"/>
      <c r="J41" s="73"/>
      <c r="K41" s="178"/>
    </row>
    <row r="42" spans="1:11" ht="15.75" customHeight="1" x14ac:dyDescent="0.2">
      <c r="A42" s="3"/>
      <c r="B42" s="119"/>
      <c r="C42" s="66" t="s">
        <v>12</v>
      </c>
      <c r="D42" s="136"/>
      <c r="E42" s="136"/>
      <c r="F42" s="182">
        <f>$D$11*$D$17</f>
        <v>18900</v>
      </c>
      <c r="G42" s="182">
        <f>$D$11*$D$17</f>
        <v>18900</v>
      </c>
      <c r="H42" s="73"/>
      <c r="I42" s="73"/>
      <c r="J42" s="73"/>
      <c r="K42" s="178"/>
    </row>
    <row r="43" spans="1:11" ht="15.75" customHeight="1" x14ac:dyDescent="0.2">
      <c r="A43" s="3"/>
      <c r="B43" s="119"/>
      <c r="C43" s="66" t="s">
        <v>113</v>
      </c>
      <c r="D43" s="136">
        <v>0</v>
      </c>
      <c r="E43" s="136"/>
      <c r="F43" s="136">
        <v>0</v>
      </c>
      <c r="G43" s="136">
        <v>0</v>
      </c>
      <c r="H43" s="73"/>
      <c r="I43" s="73"/>
      <c r="J43" s="73"/>
      <c r="K43" s="178"/>
    </row>
    <row r="44" spans="1:11" ht="15.75" customHeight="1" x14ac:dyDescent="0.2">
      <c r="A44" s="3"/>
      <c r="B44" s="119"/>
      <c r="C44" s="66" t="s">
        <v>114</v>
      </c>
      <c r="D44" s="78">
        <f>-(D13+((D12-D13)*D17))</f>
        <v>-238400</v>
      </c>
      <c r="E44" s="136"/>
      <c r="F44" s="136">
        <v>0</v>
      </c>
      <c r="G44" s="78">
        <f>D14+((G40-D14)*D17)</f>
        <v>66300</v>
      </c>
      <c r="H44" s="73"/>
      <c r="I44" s="73"/>
      <c r="J44" s="73"/>
      <c r="K44" s="178"/>
    </row>
    <row r="45" spans="1:11" ht="15.75" customHeight="1" thickBot="1" x14ac:dyDescent="0.25">
      <c r="A45" s="3"/>
      <c r="B45" s="119"/>
      <c r="C45" s="66" t="s">
        <v>115</v>
      </c>
      <c r="D45" s="191">
        <f>D42+D43+D44</f>
        <v>-238400</v>
      </c>
      <c r="E45" s="192"/>
      <c r="F45" s="193">
        <f>F42+F43+F44</f>
        <v>18900</v>
      </c>
      <c r="G45" s="191">
        <f>G42+G43+G44</f>
        <v>85200</v>
      </c>
      <c r="H45" s="194"/>
      <c r="I45" s="194"/>
      <c r="J45" s="194"/>
      <c r="K45" s="178"/>
    </row>
    <row r="46" spans="1:11" ht="15.75" customHeight="1" thickTop="1" x14ac:dyDescent="0.2">
      <c r="A46" s="3"/>
      <c r="B46" s="119"/>
      <c r="C46" s="66"/>
      <c r="D46" s="186"/>
      <c r="E46" s="66"/>
      <c r="F46" s="73"/>
      <c r="G46" s="73"/>
      <c r="H46" s="73"/>
      <c r="I46" s="73"/>
      <c r="J46" s="73"/>
      <c r="K46" s="178"/>
    </row>
    <row r="47" spans="1:11" ht="15.75" customHeight="1" x14ac:dyDescent="0.2">
      <c r="A47" s="3"/>
      <c r="B47" s="119"/>
      <c r="C47" s="66" t="s">
        <v>116</v>
      </c>
      <c r="D47" s="187">
        <f>NPV(D16,F45:G45)+D45</f>
        <v>-156262.41920590954</v>
      </c>
      <c r="E47" s="66"/>
      <c r="F47" s="73"/>
      <c r="G47" s="73"/>
      <c r="H47" s="73"/>
      <c r="I47" s="73"/>
      <c r="J47" s="73"/>
      <c r="K47" s="178"/>
    </row>
    <row r="48" spans="1:11" ht="15.75" customHeight="1" x14ac:dyDescent="0.25">
      <c r="A48" s="3"/>
      <c r="B48" s="119"/>
      <c r="C48" s="66" t="s">
        <v>42</v>
      </c>
      <c r="D48" s="188">
        <f>PMT(D16,2,-D47)</f>
        <v>-94896.560747663563</v>
      </c>
      <c r="E48" s="66"/>
      <c r="F48" s="73"/>
      <c r="G48" s="73"/>
      <c r="H48" s="73"/>
      <c r="I48" s="73"/>
      <c r="J48" s="73"/>
      <c r="K48" s="178"/>
    </row>
    <row r="49" spans="1:11" ht="15.75" customHeight="1" x14ac:dyDescent="0.2">
      <c r="A49" s="3"/>
      <c r="B49" s="119"/>
      <c r="C49" s="66"/>
      <c r="D49" s="189"/>
      <c r="E49" s="66"/>
      <c r="F49" s="73"/>
      <c r="G49" s="73"/>
      <c r="H49" s="73"/>
      <c r="I49" s="73"/>
      <c r="J49" s="73"/>
      <c r="K49" s="178"/>
    </row>
    <row r="50" spans="1:11" ht="15.75" customHeight="1" x14ac:dyDescent="0.2">
      <c r="A50" s="3"/>
      <c r="B50" s="179" t="s">
        <v>125</v>
      </c>
      <c r="C50" s="180" t="s">
        <v>142</v>
      </c>
      <c r="D50" s="189"/>
      <c r="E50" s="66"/>
      <c r="F50" s="73"/>
      <c r="G50" s="73"/>
      <c r="H50" s="73"/>
      <c r="I50" s="73"/>
      <c r="J50" s="73"/>
      <c r="K50" s="178"/>
    </row>
    <row r="51" spans="1:11" ht="15.75" customHeight="1" x14ac:dyDescent="0.2">
      <c r="A51" s="3"/>
      <c r="B51" s="119"/>
      <c r="C51" s="66" t="s">
        <v>143</v>
      </c>
      <c r="D51" s="195">
        <f>-D8</f>
        <v>-580000</v>
      </c>
      <c r="E51" s="78"/>
      <c r="F51" s="78">
        <f>F33</f>
        <v>91510</v>
      </c>
      <c r="G51" s="78">
        <f>G33</f>
        <v>91510</v>
      </c>
      <c r="H51" s="78">
        <f>H33</f>
        <v>91510</v>
      </c>
      <c r="I51" s="78">
        <f>I33</f>
        <v>91510</v>
      </c>
      <c r="J51" s="78">
        <f>J33</f>
        <v>194210</v>
      </c>
      <c r="K51" s="178"/>
    </row>
    <row r="52" spans="1:11" ht="15.75" customHeight="1" x14ac:dyDescent="0.2">
      <c r="A52" s="3"/>
      <c r="B52" s="119"/>
      <c r="C52" s="66" t="s">
        <v>144</v>
      </c>
      <c r="D52" s="195">
        <f>-D45</f>
        <v>238400</v>
      </c>
      <c r="E52" s="78"/>
      <c r="F52" s="196">
        <f>-F45</f>
        <v>-18900</v>
      </c>
      <c r="G52" s="78">
        <f>-G45</f>
        <v>-85200</v>
      </c>
      <c r="H52" s="78">
        <f>H45</f>
        <v>0</v>
      </c>
      <c r="I52" s="78">
        <f>I45</f>
        <v>0</v>
      </c>
      <c r="J52" s="78">
        <f>J45</f>
        <v>0</v>
      </c>
      <c r="K52" s="178"/>
    </row>
    <row r="53" spans="1:11" ht="15.75" customHeight="1" thickBot="1" x14ac:dyDescent="0.25">
      <c r="A53" s="3"/>
      <c r="B53" s="119"/>
      <c r="C53" s="66" t="s">
        <v>115</v>
      </c>
      <c r="D53" s="191">
        <f>D51+D52</f>
        <v>-341600</v>
      </c>
      <c r="E53" s="125"/>
      <c r="F53" s="125">
        <f>F51+F52</f>
        <v>72610</v>
      </c>
      <c r="G53" s="125">
        <f>G51+G52</f>
        <v>6310</v>
      </c>
      <c r="H53" s="125">
        <f>H51+H52</f>
        <v>91510</v>
      </c>
      <c r="I53" s="125">
        <f>I51+I52</f>
        <v>91510</v>
      </c>
      <c r="J53" s="125">
        <f>J51+J52</f>
        <v>194210</v>
      </c>
      <c r="K53" s="178"/>
    </row>
    <row r="54" spans="1:11" ht="15.75" customHeight="1" thickTop="1" x14ac:dyDescent="0.2">
      <c r="A54" s="3"/>
      <c r="B54" s="119"/>
      <c r="C54" s="66"/>
      <c r="D54" s="189"/>
      <c r="E54" s="66"/>
      <c r="F54" s="73"/>
      <c r="G54" s="73"/>
      <c r="H54" s="73"/>
      <c r="I54" s="73"/>
      <c r="J54" s="73"/>
      <c r="K54" s="178"/>
    </row>
    <row r="55" spans="1:11" ht="15.75" customHeight="1" x14ac:dyDescent="0.25">
      <c r="A55" s="3"/>
      <c r="B55" s="119"/>
      <c r="C55" s="66" t="s">
        <v>20</v>
      </c>
      <c r="D55" s="388">
        <f>NPV(D16,F53:J53)+D53</f>
        <v>-56237.179504099826</v>
      </c>
      <c r="E55" s="66"/>
      <c r="F55" s="73"/>
      <c r="G55" s="73"/>
      <c r="H55" s="73"/>
      <c r="I55" s="73"/>
      <c r="J55" s="73"/>
      <c r="K55" s="178"/>
    </row>
    <row r="56" spans="1:11" ht="15.75" customHeight="1" thickBot="1" x14ac:dyDescent="0.25">
      <c r="A56" s="3"/>
      <c r="B56" s="122"/>
      <c r="C56" s="123"/>
      <c r="D56" s="197"/>
      <c r="E56" s="123"/>
      <c r="F56" s="123"/>
      <c r="G56" s="123"/>
      <c r="H56" s="123"/>
      <c r="I56" s="123"/>
      <c r="J56" s="123"/>
      <c r="K56" s="198"/>
    </row>
    <row r="57" spans="1:11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1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1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1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1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1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1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1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</row>
  </sheetData>
  <phoneticPr fontId="29" type="noConversion"/>
  <pageMargins left="0.75" right="0.75" top="1" bottom="1" header="0.5" footer="0.5"/>
  <pageSetup scale="58" orientation="portrait" horizontalDpi="360" verticalDpi="36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0.85546875" bestFit="1" customWidth="1"/>
    <col min="4" max="5" width="19.42578125" customWidth="1"/>
    <col min="6" max="6" width="3.140625" customWidth="1"/>
    <col min="7" max="9" width="9.140625" customWidth="1"/>
  </cols>
  <sheetData>
    <row r="1" spans="2:8" ht="18" x14ac:dyDescent="0.25">
      <c r="C1" s="1" t="s">
        <v>412</v>
      </c>
    </row>
    <row r="2" spans="2:8" ht="15.75" customHeight="1" x14ac:dyDescent="0.2">
      <c r="C2" s="3" t="s">
        <v>348</v>
      </c>
    </row>
    <row r="3" spans="2:8" ht="15.75" customHeight="1" x14ac:dyDescent="0.2"/>
    <row r="4" spans="2:8" ht="15.75" customHeight="1" x14ac:dyDescent="0.2">
      <c r="C4" s="2" t="s">
        <v>1</v>
      </c>
    </row>
    <row r="5" spans="2:8" ht="15.75" customHeight="1" thickBot="1" x14ac:dyDescent="0.25"/>
    <row r="6" spans="2:8" ht="15.75" customHeight="1" x14ac:dyDescent="0.2">
      <c r="B6" s="5"/>
      <c r="C6" s="6"/>
      <c r="D6" s="6"/>
      <c r="E6" s="6"/>
      <c r="F6" s="7"/>
    </row>
    <row r="7" spans="2:8" ht="15.75" customHeight="1" x14ac:dyDescent="0.2">
      <c r="B7" s="8"/>
      <c r="C7" s="13" t="s">
        <v>361</v>
      </c>
      <c r="D7" s="83">
        <v>1450000</v>
      </c>
      <c r="E7" s="83"/>
      <c r="F7" s="9"/>
      <c r="H7" s="57"/>
    </row>
    <row r="8" spans="2:8" ht="15.75" customHeight="1" x14ac:dyDescent="0.2">
      <c r="B8" s="8"/>
      <c r="C8" s="13" t="s">
        <v>362</v>
      </c>
      <c r="D8" s="83">
        <v>75000</v>
      </c>
      <c r="E8" s="83"/>
      <c r="F8" s="9"/>
      <c r="H8" s="57"/>
    </row>
    <row r="9" spans="2:8" ht="15.75" customHeight="1" x14ac:dyDescent="0.2">
      <c r="B9" s="8"/>
      <c r="C9" s="13"/>
      <c r="D9" s="83"/>
      <c r="E9" s="83"/>
      <c r="F9" s="9"/>
      <c r="H9" s="57"/>
    </row>
    <row r="10" spans="2:8" ht="15.75" customHeight="1" x14ac:dyDescent="0.2">
      <c r="B10" s="8"/>
      <c r="C10" s="268"/>
      <c r="D10" s="427" t="s">
        <v>363</v>
      </c>
      <c r="E10" s="428" t="s">
        <v>365</v>
      </c>
      <c r="F10" s="9"/>
      <c r="H10" s="57"/>
    </row>
    <row r="11" spans="2:8" ht="15.75" customHeight="1" x14ac:dyDescent="0.2">
      <c r="B11" s="8"/>
      <c r="C11" s="13" t="s">
        <v>364</v>
      </c>
      <c r="D11" s="83">
        <v>115000</v>
      </c>
      <c r="E11" s="83">
        <v>160000</v>
      </c>
      <c r="F11" s="9"/>
    </row>
    <row r="12" spans="2:8" ht="15.75" customHeight="1" x14ac:dyDescent="0.2">
      <c r="B12" s="8"/>
      <c r="C12" s="13" t="s">
        <v>160</v>
      </c>
      <c r="D12" s="83">
        <v>340000</v>
      </c>
      <c r="E12" s="83">
        <v>345000</v>
      </c>
      <c r="F12" s="9"/>
    </row>
    <row r="13" spans="2:8" ht="15.75" customHeight="1" x14ac:dyDescent="0.2">
      <c r="B13" s="8"/>
      <c r="C13" s="13" t="s">
        <v>366</v>
      </c>
      <c r="D13" s="83">
        <v>275000</v>
      </c>
      <c r="E13" s="83">
        <v>295000</v>
      </c>
      <c r="F13" s="9"/>
    </row>
    <row r="14" spans="2:8" ht="15.75" customHeight="1" x14ac:dyDescent="0.2">
      <c r="B14" s="8"/>
      <c r="C14" s="13" t="s">
        <v>367</v>
      </c>
      <c r="D14" s="83">
        <v>115000</v>
      </c>
      <c r="E14" s="83">
        <v>130000</v>
      </c>
      <c r="F14" s="9"/>
    </row>
    <row r="15" spans="2:8" ht="15.75" customHeight="1" x14ac:dyDescent="0.2">
      <c r="B15" s="8"/>
      <c r="C15" s="13" t="s">
        <v>368</v>
      </c>
      <c r="D15" s="83">
        <v>75000</v>
      </c>
      <c r="E15" s="83">
        <v>85000</v>
      </c>
      <c r="F15" s="9"/>
    </row>
    <row r="16" spans="2:8" ht="15.75" customHeight="1" x14ac:dyDescent="0.2">
      <c r="B16" s="8"/>
      <c r="C16" s="13"/>
      <c r="D16" s="89"/>
      <c r="E16" s="89"/>
      <c r="F16" s="9"/>
    </row>
    <row r="17" spans="2:6" ht="15.75" customHeight="1" x14ac:dyDescent="0.2">
      <c r="B17" s="8"/>
      <c r="C17" s="13" t="s">
        <v>370</v>
      </c>
      <c r="D17" s="89">
        <v>15</v>
      </c>
      <c r="E17" s="83"/>
      <c r="F17" s="9"/>
    </row>
    <row r="18" spans="2:6" ht="15.75" customHeight="1" x14ac:dyDescent="0.2">
      <c r="B18" s="8"/>
      <c r="C18" s="13" t="s">
        <v>6</v>
      </c>
      <c r="D18" s="151">
        <v>0.21</v>
      </c>
      <c r="E18" s="151"/>
      <c r="F18" s="9"/>
    </row>
    <row r="19" spans="2:6" ht="15.75" customHeight="1" x14ac:dyDescent="0.2">
      <c r="B19" s="8"/>
      <c r="C19" s="13" t="s">
        <v>19</v>
      </c>
      <c r="D19" s="151">
        <v>0.12</v>
      </c>
      <c r="E19" s="151"/>
      <c r="F19" s="9"/>
    </row>
    <row r="20" spans="2:6" ht="15.75" customHeight="1" thickBot="1" x14ac:dyDescent="0.25">
      <c r="B20" s="10"/>
      <c r="C20" s="65"/>
      <c r="D20" s="65"/>
      <c r="E20" s="65"/>
      <c r="F20" s="12"/>
    </row>
    <row r="21" spans="2:6" ht="15.75" customHeight="1" x14ac:dyDescent="0.2">
      <c r="B21" s="64"/>
      <c r="F21" s="64"/>
    </row>
    <row r="22" spans="2:6" ht="15.75" customHeight="1" x14ac:dyDescent="0.2">
      <c r="C22" s="2" t="s">
        <v>2</v>
      </c>
    </row>
    <row r="23" spans="2:6" ht="15.75" customHeight="1" thickBot="1" x14ac:dyDescent="0.25"/>
    <row r="24" spans="2:6" ht="15.75" customHeight="1" x14ac:dyDescent="0.2">
      <c r="B24" s="68"/>
      <c r="C24" s="69"/>
      <c r="D24" s="69"/>
      <c r="E24" s="69"/>
      <c r="F24" s="154"/>
    </row>
    <row r="25" spans="2:6" ht="15.75" customHeight="1" x14ac:dyDescent="0.2">
      <c r="B25" s="70"/>
      <c r="C25" s="260" t="s">
        <v>369</v>
      </c>
      <c r="D25" s="319"/>
      <c r="E25" s="319"/>
      <c r="F25" s="22"/>
    </row>
    <row r="26" spans="2:6" ht="15.75" customHeight="1" x14ac:dyDescent="0.2">
      <c r="B26" s="70"/>
      <c r="C26" s="19" t="s">
        <v>371</v>
      </c>
      <c r="D26" s="95">
        <f>D8</f>
        <v>75000</v>
      </c>
      <c r="E26" s="95"/>
      <c r="F26" s="22"/>
    </row>
    <row r="27" spans="2:6" ht="15.75" customHeight="1" x14ac:dyDescent="0.2">
      <c r="B27" s="165"/>
      <c r="C27" s="19" t="s">
        <v>76</v>
      </c>
      <c r="D27" s="221">
        <f>D26*D18</f>
        <v>15750</v>
      </c>
      <c r="E27" s="318"/>
      <c r="F27" s="22"/>
    </row>
    <row r="28" spans="2:6" ht="15.75" customHeight="1" x14ac:dyDescent="0.2">
      <c r="B28" s="70"/>
      <c r="C28" s="19" t="s">
        <v>110</v>
      </c>
      <c r="D28" s="95">
        <f>D26-D27</f>
        <v>59250</v>
      </c>
      <c r="E28" s="95"/>
      <c r="F28" s="22"/>
    </row>
    <row r="29" spans="2:6" ht="15.75" customHeight="1" x14ac:dyDescent="0.2">
      <c r="B29" s="70"/>
      <c r="C29" s="19"/>
      <c r="D29" s="138"/>
      <c r="E29" s="138"/>
      <c r="F29" s="22"/>
    </row>
    <row r="30" spans="2:6" ht="15.75" customHeight="1" x14ac:dyDescent="0.25">
      <c r="B30" s="70"/>
      <c r="C30" s="19" t="s">
        <v>20</v>
      </c>
      <c r="D30" s="137">
        <f>PV(D19,D17,-D28)</f>
        <v>403543.72100080154</v>
      </c>
      <c r="E30" s="95"/>
      <c r="F30" s="22"/>
    </row>
    <row r="31" spans="2:6" ht="15.75" customHeight="1" x14ac:dyDescent="0.2">
      <c r="B31" s="70"/>
      <c r="C31" s="19"/>
      <c r="D31" s="220"/>
      <c r="E31" s="220"/>
      <c r="F31" s="22"/>
    </row>
    <row r="32" spans="2:6" ht="15.75" customHeight="1" x14ac:dyDescent="0.35">
      <c r="B32" s="70"/>
      <c r="C32" s="260" t="s">
        <v>363</v>
      </c>
      <c r="D32" s="320" t="s">
        <v>372</v>
      </c>
      <c r="E32" s="320" t="s">
        <v>373</v>
      </c>
      <c r="F32" s="22"/>
    </row>
    <row r="33" spans="2:6" ht="15.75" customHeight="1" x14ac:dyDescent="0.2">
      <c r="B33" s="70"/>
      <c r="C33" s="19" t="s">
        <v>374</v>
      </c>
      <c r="D33" s="78">
        <f>D13</f>
        <v>275000</v>
      </c>
      <c r="E33" s="78">
        <f>D33</f>
        <v>275000</v>
      </c>
      <c r="F33" s="22"/>
    </row>
    <row r="34" spans="2:6" ht="15.75" customHeight="1" x14ac:dyDescent="0.2">
      <c r="B34" s="70"/>
      <c r="C34" s="19" t="s">
        <v>375</v>
      </c>
      <c r="D34" s="79">
        <f>D14</f>
        <v>115000</v>
      </c>
      <c r="E34" s="79">
        <f>D34</f>
        <v>115000</v>
      </c>
      <c r="F34" s="22"/>
    </row>
    <row r="35" spans="2:6" ht="15.75" customHeight="1" x14ac:dyDescent="0.2">
      <c r="B35" s="70"/>
      <c r="C35" s="19" t="s">
        <v>5</v>
      </c>
      <c r="D35" s="79">
        <f>(D12+D11)/D17</f>
        <v>30333.333333333332</v>
      </c>
      <c r="E35" s="79">
        <f>D35</f>
        <v>30333.333333333332</v>
      </c>
      <c r="F35" s="22"/>
    </row>
    <row r="36" spans="2:6" ht="15.75" customHeight="1" x14ac:dyDescent="0.2">
      <c r="B36" s="70"/>
      <c r="C36" s="19" t="s">
        <v>376</v>
      </c>
      <c r="D36" s="81">
        <f>0</f>
        <v>0</v>
      </c>
      <c r="E36" s="81">
        <f>D15</f>
        <v>75000</v>
      </c>
      <c r="F36" s="22"/>
    </row>
    <row r="37" spans="2:6" ht="15.75" customHeight="1" x14ac:dyDescent="0.2">
      <c r="B37" s="70"/>
      <c r="C37" s="19" t="s">
        <v>8</v>
      </c>
      <c r="D37" s="78">
        <f>D33-D34-D35-D36</f>
        <v>129666.66666666667</v>
      </c>
      <c r="E37" s="78">
        <f>E33-E34-E35-E36</f>
        <v>54666.666666666672</v>
      </c>
      <c r="F37" s="22"/>
    </row>
    <row r="38" spans="2:6" ht="15.75" customHeight="1" x14ac:dyDescent="0.2">
      <c r="B38" s="70"/>
      <c r="C38" s="19" t="s">
        <v>150</v>
      </c>
      <c r="D38" s="81">
        <f>D37*D18</f>
        <v>27230</v>
      </c>
      <c r="E38" s="81">
        <f>E37*D18</f>
        <v>11480</v>
      </c>
      <c r="F38" s="22"/>
    </row>
    <row r="39" spans="2:6" ht="15.75" customHeight="1" thickBot="1" x14ac:dyDescent="0.25">
      <c r="B39" s="70"/>
      <c r="C39" s="19" t="s">
        <v>318</v>
      </c>
      <c r="D39" s="158">
        <f>D37-D38</f>
        <v>102436.66666666667</v>
      </c>
      <c r="E39" s="158">
        <f>E37-E38</f>
        <v>43186.666666666672</v>
      </c>
      <c r="F39" s="22"/>
    </row>
    <row r="40" spans="2:6" ht="15.75" customHeight="1" thickTop="1" x14ac:dyDescent="0.2">
      <c r="B40" s="70"/>
      <c r="C40" s="19" t="s">
        <v>11</v>
      </c>
      <c r="D40" s="95">
        <f>D39+D35</f>
        <v>132770</v>
      </c>
      <c r="E40" s="95">
        <f>E39+E35</f>
        <v>73520</v>
      </c>
      <c r="F40" s="22"/>
    </row>
    <row r="41" spans="2:6" ht="15.75" customHeight="1" x14ac:dyDescent="0.2">
      <c r="B41" s="70"/>
      <c r="C41" s="19"/>
      <c r="D41" s="95"/>
      <c r="E41" s="140"/>
      <c r="F41" s="22"/>
    </row>
    <row r="42" spans="2:6" ht="15.75" customHeight="1" x14ac:dyDescent="0.25">
      <c r="B42" s="70"/>
      <c r="C42" s="19" t="s">
        <v>20</v>
      </c>
      <c r="D42" s="137">
        <f>PV(D19,D17-1,-D40)+PV(D19,D17,0,-E40)-(D12+D11)</f>
        <v>438453.72478636517</v>
      </c>
      <c r="E42" s="140"/>
      <c r="F42" s="22"/>
    </row>
    <row r="43" spans="2:6" ht="15.75" customHeight="1" x14ac:dyDescent="0.2">
      <c r="B43" s="70"/>
      <c r="C43" s="19"/>
      <c r="D43" s="95"/>
      <c r="E43" s="140"/>
      <c r="F43" s="22"/>
    </row>
    <row r="44" spans="2:6" ht="15.75" customHeight="1" x14ac:dyDescent="0.35">
      <c r="B44" s="70"/>
      <c r="C44" s="260" t="s">
        <v>365</v>
      </c>
      <c r="D44" s="320" t="s">
        <v>372</v>
      </c>
      <c r="E44" s="320" t="s">
        <v>373</v>
      </c>
      <c r="F44" s="22"/>
    </row>
    <row r="45" spans="2:6" ht="15.75" customHeight="1" x14ac:dyDescent="0.2">
      <c r="B45" s="70"/>
      <c r="C45" s="19" t="s">
        <v>374</v>
      </c>
      <c r="D45" s="78">
        <f>E13</f>
        <v>295000</v>
      </c>
      <c r="E45" s="78">
        <f>D45</f>
        <v>295000</v>
      </c>
      <c r="F45" s="22"/>
    </row>
    <row r="46" spans="2:6" ht="15.75" customHeight="1" x14ac:dyDescent="0.2">
      <c r="B46" s="70"/>
      <c r="C46" s="19" t="s">
        <v>375</v>
      </c>
      <c r="D46" s="79">
        <f>E14</f>
        <v>130000</v>
      </c>
      <c r="E46" s="79">
        <f>D46</f>
        <v>130000</v>
      </c>
      <c r="F46" s="22"/>
    </row>
    <row r="47" spans="2:6" ht="15.75" customHeight="1" x14ac:dyDescent="0.2">
      <c r="B47" s="70"/>
      <c r="C47" s="19" t="s">
        <v>5</v>
      </c>
      <c r="D47" s="79">
        <f>(E11+E12)/D17</f>
        <v>33666.666666666664</v>
      </c>
      <c r="E47" s="79">
        <f>D47</f>
        <v>33666.666666666664</v>
      </c>
      <c r="F47" s="22"/>
    </row>
    <row r="48" spans="2:6" ht="15.75" customHeight="1" x14ac:dyDescent="0.2">
      <c r="B48" s="70"/>
      <c r="C48" s="19" t="s">
        <v>376</v>
      </c>
      <c r="D48" s="81">
        <f>0</f>
        <v>0</v>
      </c>
      <c r="E48" s="81">
        <f>E15</f>
        <v>85000</v>
      </c>
      <c r="F48" s="22"/>
    </row>
    <row r="49" spans="2:6" ht="15.75" customHeight="1" x14ac:dyDescent="0.2">
      <c r="B49" s="70"/>
      <c r="C49" s="19" t="s">
        <v>8</v>
      </c>
      <c r="D49" s="78">
        <f>D45-D46-D47-D48</f>
        <v>131333.33333333334</v>
      </c>
      <c r="E49" s="78">
        <f>E45-E46-E47-E48</f>
        <v>46333.333333333343</v>
      </c>
      <c r="F49" s="22"/>
    </row>
    <row r="50" spans="2:6" ht="15.75" customHeight="1" x14ac:dyDescent="0.2">
      <c r="B50" s="70"/>
      <c r="C50" s="19" t="s">
        <v>150</v>
      </c>
      <c r="D50" s="81">
        <f>D49*D18</f>
        <v>27580</v>
      </c>
      <c r="E50" s="81">
        <f>E49*D18</f>
        <v>9730.0000000000018</v>
      </c>
      <c r="F50" s="22"/>
    </row>
    <row r="51" spans="2:6" ht="15.75" customHeight="1" thickBot="1" x14ac:dyDescent="0.25">
      <c r="B51" s="70"/>
      <c r="C51" s="19" t="s">
        <v>318</v>
      </c>
      <c r="D51" s="158">
        <f>D49-D50</f>
        <v>103753.33333333334</v>
      </c>
      <c r="E51" s="158">
        <f>E49-E50</f>
        <v>36603.333333333343</v>
      </c>
      <c r="F51" s="22"/>
    </row>
    <row r="52" spans="2:6" ht="15.75" customHeight="1" thickTop="1" x14ac:dyDescent="0.2">
      <c r="B52" s="70"/>
      <c r="C52" s="19" t="s">
        <v>11</v>
      </c>
      <c r="D52" s="95">
        <f>D51+D47</f>
        <v>137420</v>
      </c>
      <c r="E52" s="95">
        <f>E51+E47</f>
        <v>70270</v>
      </c>
      <c r="F52" s="22"/>
    </row>
    <row r="53" spans="2:6" ht="15.75" customHeight="1" x14ac:dyDescent="0.2">
      <c r="B53" s="70"/>
      <c r="C53" s="19"/>
      <c r="D53" s="95"/>
      <c r="E53" s="140"/>
      <c r="F53" s="22"/>
    </row>
    <row r="54" spans="2:6" ht="15.75" customHeight="1" x14ac:dyDescent="0.25">
      <c r="B54" s="70"/>
      <c r="C54" s="19" t="s">
        <v>20</v>
      </c>
      <c r="D54" s="137">
        <f>PV(D19,D17-1,-D52)+PV(D19,D17,0,-E52)-(E11+E12)</f>
        <v>418680.94419839035</v>
      </c>
      <c r="E54" s="140"/>
      <c r="F54" s="22"/>
    </row>
    <row r="55" spans="2:6" ht="15.75" customHeight="1" x14ac:dyDescent="0.25">
      <c r="B55" s="70"/>
      <c r="C55" s="19"/>
      <c r="D55" s="160"/>
      <c r="E55" s="140"/>
      <c r="F55" s="22"/>
    </row>
    <row r="56" spans="2:6" ht="15.75" customHeight="1" x14ac:dyDescent="0.25">
      <c r="B56" s="70"/>
      <c r="C56" s="260" t="s">
        <v>421</v>
      </c>
      <c r="D56" s="160"/>
      <c r="E56" s="140"/>
      <c r="F56" s="22"/>
    </row>
    <row r="57" spans="2:6" ht="15.75" customHeight="1" x14ac:dyDescent="0.25">
      <c r="B57" s="70"/>
      <c r="C57" s="19" t="s">
        <v>438</v>
      </c>
      <c r="D57" s="137">
        <f>D42-D30</f>
        <v>34910.003785563633</v>
      </c>
      <c r="E57" s="140"/>
      <c r="F57" s="22"/>
    </row>
    <row r="58" spans="2:6" ht="15.75" customHeight="1" x14ac:dyDescent="0.25">
      <c r="B58" s="70"/>
      <c r="C58" s="19" t="s">
        <v>422</v>
      </c>
      <c r="D58" s="137">
        <f>D54-D30</f>
        <v>15137.223197588813</v>
      </c>
      <c r="E58" s="140"/>
      <c r="F58" s="22"/>
    </row>
    <row r="59" spans="2:6" ht="15.75" customHeight="1" thickBot="1" x14ac:dyDescent="0.25">
      <c r="B59" s="71"/>
      <c r="C59" s="53"/>
      <c r="D59" s="53"/>
      <c r="E59" s="53"/>
      <c r="F59" s="51"/>
    </row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</sheetData>
  <phoneticPr fontId="0" type="noConversion"/>
  <pageMargins left="0.75" right="0.75" top="1" bottom="1" header="0.5" footer="0.5"/>
  <pageSetup scale="5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8" width="9.140625" customWidth="1"/>
  </cols>
  <sheetData>
    <row r="1" spans="2:7" ht="17.25" customHeight="1" x14ac:dyDescent="0.25">
      <c r="C1" s="1" t="s">
        <v>412</v>
      </c>
    </row>
    <row r="2" spans="2:7" ht="15.75" customHeight="1" x14ac:dyDescent="0.2">
      <c r="C2" s="3" t="s">
        <v>4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4"/>
    </row>
    <row r="6" spans="2:7" ht="15.75" customHeight="1" x14ac:dyDescent="0.2">
      <c r="B6" s="5"/>
      <c r="C6" s="6"/>
      <c r="D6" s="6"/>
      <c r="E6" s="7"/>
      <c r="F6" s="14"/>
      <c r="G6" s="14"/>
    </row>
    <row r="7" spans="2:7" ht="15.75" customHeight="1" x14ac:dyDescent="0.2">
      <c r="B7" s="8"/>
      <c r="C7" s="13" t="s">
        <v>16</v>
      </c>
      <c r="D7" s="83">
        <v>1420000</v>
      </c>
      <c r="E7" s="9"/>
      <c r="F7" s="14"/>
      <c r="G7" s="14"/>
    </row>
    <row r="8" spans="2:7" ht="15.75" customHeight="1" x14ac:dyDescent="0.2">
      <c r="B8" s="8"/>
      <c r="C8" s="13" t="s">
        <v>17</v>
      </c>
      <c r="D8" s="83">
        <v>1090000</v>
      </c>
      <c r="E8" s="9"/>
      <c r="F8" s="14"/>
      <c r="G8" s="14"/>
    </row>
    <row r="9" spans="2:7" ht="15.75" customHeight="1" x14ac:dyDescent="0.2">
      <c r="B9" s="8"/>
      <c r="C9" s="13" t="s">
        <v>14</v>
      </c>
      <c r="D9" s="83">
        <v>475000</v>
      </c>
      <c r="E9" s="9"/>
      <c r="F9" s="14"/>
      <c r="G9" s="14"/>
    </row>
    <row r="10" spans="2:7" ht="15.75" customHeight="1" x14ac:dyDescent="0.2">
      <c r="B10" s="8"/>
      <c r="C10" s="13" t="s">
        <v>6</v>
      </c>
      <c r="D10" s="90">
        <v>0.25</v>
      </c>
      <c r="E10" s="9"/>
      <c r="F10" s="45"/>
      <c r="G10" s="45"/>
    </row>
    <row r="11" spans="2:7" ht="15.75" customHeight="1" x14ac:dyDescent="0.2">
      <c r="B11" s="8"/>
      <c r="C11" s="13" t="s">
        <v>33</v>
      </c>
      <c r="D11" s="84"/>
      <c r="E11" s="40"/>
      <c r="F11" s="46"/>
      <c r="G11" s="46"/>
    </row>
    <row r="12" spans="2:7" ht="15.75" customHeight="1" x14ac:dyDescent="0.2">
      <c r="B12" s="8"/>
      <c r="C12" s="13" t="s">
        <v>18</v>
      </c>
      <c r="D12" s="91">
        <v>3</v>
      </c>
      <c r="E12" s="40"/>
      <c r="F12" s="46"/>
      <c r="G12" s="46"/>
    </row>
    <row r="13" spans="2:7" ht="15.75" customHeight="1" x14ac:dyDescent="0.2">
      <c r="B13" s="8"/>
      <c r="C13" s="13" t="s">
        <v>19</v>
      </c>
      <c r="D13" s="82">
        <v>0.12</v>
      </c>
      <c r="E13" s="40"/>
      <c r="F13" s="46"/>
      <c r="G13" s="46"/>
    </row>
    <row r="14" spans="2:7" ht="15.75" customHeight="1" thickBot="1" x14ac:dyDescent="0.25">
      <c r="B14" s="10"/>
      <c r="C14" s="11"/>
      <c r="D14" s="11"/>
      <c r="E14" s="12"/>
      <c r="F14" s="47"/>
      <c r="G14" s="14"/>
    </row>
    <row r="15" spans="2:7" ht="15.75" customHeight="1" x14ac:dyDescent="0.2"/>
    <row r="16" spans="2:7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5"/>
      <c r="C18" s="16"/>
      <c r="D18" s="16"/>
      <c r="E18" s="17"/>
      <c r="F18" s="30"/>
      <c r="G18" s="30"/>
      <c r="H18" s="30"/>
    </row>
    <row r="19" spans="2:8" ht="15.75" customHeight="1" x14ac:dyDescent="0.2">
      <c r="B19" s="18"/>
      <c r="C19" s="19" t="s">
        <v>11</v>
      </c>
      <c r="D19" s="85">
        <f>(D8-D9)*(1-D10)+D10*(D7/D12)</f>
        <v>579583.33333333337</v>
      </c>
      <c r="E19" s="21"/>
      <c r="F19" s="31"/>
      <c r="G19" s="31"/>
      <c r="H19" s="30"/>
    </row>
    <row r="20" spans="2:8" ht="15.75" customHeight="1" x14ac:dyDescent="0.25">
      <c r="B20" s="18"/>
      <c r="C20" s="19"/>
      <c r="D20" s="86"/>
      <c r="E20" s="21"/>
      <c r="F20" s="31"/>
      <c r="G20" s="31"/>
      <c r="H20" s="30"/>
    </row>
    <row r="21" spans="2:8" ht="15.75" customHeight="1" x14ac:dyDescent="0.25">
      <c r="B21" s="18"/>
      <c r="C21" s="19" t="s">
        <v>20</v>
      </c>
      <c r="D21" s="129">
        <f>-D7+PV(D13,D12,-D19)</f>
        <v>-27938.627459911164</v>
      </c>
      <c r="E21" s="21"/>
      <c r="F21" s="31"/>
      <c r="G21" s="31"/>
      <c r="H21" s="30"/>
    </row>
    <row r="22" spans="2:8" ht="15.75" customHeight="1" thickBot="1" x14ac:dyDescent="0.25">
      <c r="B22" s="23"/>
      <c r="C22" s="39"/>
      <c r="D22" s="50"/>
      <c r="E22" s="51"/>
      <c r="F22" s="35"/>
      <c r="G22" s="35"/>
      <c r="H22" s="31"/>
    </row>
    <row r="23" spans="2:8" ht="15.75" customHeight="1" x14ac:dyDescent="0.2">
      <c r="B23" s="30"/>
      <c r="C23" s="35"/>
      <c r="D23" s="48"/>
      <c r="E23" s="30"/>
      <c r="F23" s="35"/>
      <c r="G23" s="35"/>
      <c r="H23" s="30"/>
    </row>
    <row r="24" spans="2:8" ht="15.75" customHeight="1" x14ac:dyDescent="0.2">
      <c r="B24" s="30"/>
      <c r="C24" s="35"/>
      <c r="D24" s="49"/>
      <c r="E24" s="30"/>
      <c r="F24" s="35"/>
      <c r="G24" s="35"/>
      <c r="H24" s="30"/>
    </row>
    <row r="25" spans="2:8" ht="15.75" customHeight="1" x14ac:dyDescent="0.2">
      <c r="B25" s="30"/>
      <c r="C25" s="36"/>
      <c r="D25" s="37"/>
      <c r="E25" s="38"/>
      <c r="F25" s="35"/>
      <c r="G25" s="35"/>
      <c r="H25" s="30"/>
    </row>
    <row r="26" spans="2:8" ht="15.75" customHeight="1" x14ac:dyDescent="0.2">
      <c r="B26" s="30"/>
      <c r="C26" s="36"/>
      <c r="D26" s="37"/>
      <c r="E26" s="38"/>
      <c r="F26" s="35"/>
      <c r="G26" s="35"/>
      <c r="H26" s="30"/>
    </row>
    <row r="27" spans="2:8" ht="15.75" customHeight="1" x14ac:dyDescent="0.2">
      <c r="B27" s="30"/>
      <c r="C27" s="36"/>
      <c r="D27" s="37"/>
      <c r="E27" s="38"/>
      <c r="F27" s="35"/>
      <c r="G27" s="35"/>
      <c r="H27" s="30"/>
    </row>
    <row r="28" spans="2:8" ht="15.75" customHeight="1" x14ac:dyDescent="0.2">
      <c r="B28" s="30"/>
      <c r="C28" s="36"/>
      <c r="D28" s="37"/>
      <c r="E28" s="38"/>
      <c r="F28" s="35"/>
      <c r="G28" s="35"/>
      <c r="H28" s="30"/>
    </row>
    <row r="29" spans="2:8" ht="15.75" customHeight="1" x14ac:dyDescent="0.2">
      <c r="B29" s="30"/>
      <c r="C29" s="30"/>
      <c r="D29" s="30"/>
      <c r="E29" s="30"/>
      <c r="F29" s="30"/>
      <c r="G29" s="30"/>
      <c r="H29" s="30"/>
    </row>
    <row r="30" spans="2:8" ht="15.75" customHeight="1" x14ac:dyDescent="0.2">
      <c r="B30" s="14"/>
      <c r="C30" s="14"/>
      <c r="D30" s="14"/>
      <c r="E30" s="14"/>
      <c r="F30" s="14"/>
      <c r="G30" s="14"/>
      <c r="H30" s="14"/>
    </row>
    <row r="31" spans="2:8" ht="15.75" customHeight="1" x14ac:dyDescent="0.2"/>
    <row r="32" spans="2:8" ht="15.75" customHeight="1" x14ac:dyDescent="0.2">
      <c r="D32" s="26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2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6" max="8" width="9.140625" customWidth="1"/>
  </cols>
  <sheetData>
    <row r="1" spans="2:5" ht="18" x14ac:dyDescent="0.25">
      <c r="C1" s="1" t="s">
        <v>412</v>
      </c>
    </row>
    <row r="2" spans="2:5" ht="15.75" customHeight="1" x14ac:dyDescent="0.2">
      <c r="C2" s="3" t="s">
        <v>445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335</v>
      </c>
      <c r="D7" s="83">
        <v>415000</v>
      </c>
      <c r="E7" s="9"/>
    </row>
    <row r="8" spans="2:5" ht="15.75" customHeight="1" x14ac:dyDescent="0.2">
      <c r="B8" s="8"/>
      <c r="C8" s="13" t="s">
        <v>336</v>
      </c>
      <c r="D8" s="83">
        <v>209000</v>
      </c>
      <c r="E8" s="9"/>
    </row>
    <row r="9" spans="2:5" ht="15.75" customHeight="1" x14ac:dyDescent="0.2">
      <c r="B9" s="8"/>
      <c r="C9" s="13" t="s">
        <v>337</v>
      </c>
      <c r="D9" s="269">
        <v>73000</v>
      </c>
      <c r="E9" s="9"/>
    </row>
    <row r="10" spans="2:5" ht="15.75" customHeight="1" x14ac:dyDescent="0.2">
      <c r="B10" s="8"/>
      <c r="C10" s="13" t="s">
        <v>338</v>
      </c>
      <c r="D10" s="269">
        <v>160000</v>
      </c>
      <c r="E10" s="9"/>
    </row>
    <row r="11" spans="2:5" ht="15.75" customHeight="1" x14ac:dyDescent="0.2">
      <c r="B11" s="8"/>
      <c r="C11" s="13" t="s">
        <v>339</v>
      </c>
      <c r="D11" s="309">
        <v>0.04</v>
      </c>
      <c r="E11" s="9"/>
    </row>
    <row r="12" spans="2:5" ht="15.75" customHeight="1" x14ac:dyDescent="0.2">
      <c r="B12" s="8"/>
      <c r="C12" s="13" t="s">
        <v>340</v>
      </c>
      <c r="D12" s="151">
        <v>0.03</v>
      </c>
      <c r="E12" s="9"/>
    </row>
    <row r="13" spans="2:5" ht="15.75" customHeight="1" x14ac:dyDescent="0.2">
      <c r="B13" s="8"/>
      <c r="C13" s="13" t="s">
        <v>341</v>
      </c>
      <c r="D13" s="151">
        <v>0.01</v>
      </c>
      <c r="E13" s="9"/>
    </row>
    <row r="14" spans="2:5" ht="15.75" customHeight="1" x14ac:dyDescent="0.2">
      <c r="B14" s="8"/>
      <c r="C14" s="13" t="s">
        <v>199</v>
      </c>
      <c r="D14" s="151">
        <v>0.06</v>
      </c>
      <c r="E14" s="9"/>
    </row>
    <row r="15" spans="2:5" ht="15.75" customHeight="1" x14ac:dyDescent="0.2">
      <c r="B15" s="8"/>
      <c r="C15" s="13" t="s">
        <v>200</v>
      </c>
      <c r="D15" s="151">
        <v>0.1</v>
      </c>
      <c r="E15" s="9"/>
    </row>
    <row r="16" spans="2:5" ht="15.75" customHeight="1" x14ac:dyDescent="0.2">
      <c r="B16" s="8"/>
      <c r="C16" s="13" t="s">
        <v>6</v>
      </c>
      <c r="D16" s="151">
        <v>0.22</v>
      </c>
      <c r="E16" s="9"/>
    </row>
    <row r="17" spans="2:6" ht="15.75" customHeight="1" thickBot="1" x14ac:dyDescent="0.25">
      <c r="B17" s="10"/>
      <c r="C17" s="28"/>
      <c r="D17" s="61"/>
      <c r="E17" s="12"/>
    </row>
    <row r="18" spans="2:6" ht="15.75" customHeight="1" x14ac:dyDescent="0.2"/>
    <row r="19" spans="2:6" ht="15.75" customHeight="1" x14ac:dyDescent="0.2">
      <c r="C19" s="2" t="s">
        <v>2</v>
      </c>
    </row>
    <row r="20" spans="2:6" ht="15.75" customHeight="1" thickBot="1" x14ac:dyDescent="0.25"/>
    <row r="21" spans="2:6" ht="15.75" customHeight="1" x14ac:dyDescent="0.2">
      <c r="B21" s="15"/>
      <c r="C21" s="16"/>
      <c r="D21" s="16"/>
      <c r="E21" s="17"/>
      <c r="F21" s="30"/>
    </row>
    <row r="22" spans="2:6" ht="15.75" customHeight="1" x14ac:dyDescent="0.2">
      <c r="B22" s="18"/>
      <c r="C22" s="260" t="s">
        <v>342</v>
      </c>
      <c r="D22" s="140"/>
      <c r="E22" s="21"/>
      <c r="F22" s="30"/>
    </row>
    <row r="23" spans="2:6" ht="15.75" customHeight="1" x14ac:dyDescent="0.2">
      <c r="B23" s="18"/>
      <c r="C23" s="19" t="s">
        <v>242</v>
      </c>
      <c r="D23" s="140">
        <f>D7/(1+D14)</f>
        <v>391509.43396226416</v>
      </c>
      <c r="E23" s="21"/>
      <c r="F23" s="30"/>
    </row>
    <row r="24" spans="2:6" ht="15.75" customHeight="1" x14ac:dyDescent="0.2">
      <c r="B24" s="18"/>
      <c r="C24" s="19" t="s">
        <v>343</v>
      </c>
      <c r="D24" s="140">
        <f>D8/(1+D14)</f>
        <v>197169.8113207547</v>
      </c>
      <c r="E24" s="21"/>
      <c r="F24" s="30"/>
    </row>
    <row r="25" spans="2:6" ht="15.75" customHeight="1" x14ac:dyDescent="0.2">
      <c r="B25" s="18"/>
      <c r="C25" s="19" t="s">
        <v>344</v>
      </c>
      <c r="D25" s="140">
        <f>D9/(1+D14)</f>
        <v>68867.924528301883</v>
      </c>
      <c r="E25" s="21"/>
      <c r="F25" s="30"/>
    </row>
    <row r="26" spans="2:6" ht="15.75" customHeight="1" x14ac:dyDescent="0.2">
      <c r="B26" s="18"/>
      <c r="C26" s="19" t="s">
        <v>346</v>
      </c>
      <c r="D26" s="140">
        <f>D10/(1+D14)</f>
        <v>150943.39622641509</v>
      </c>
      <c r="E26" s="21"/>
      <c r="F26" s="30"/>
    </row>
    <row r="27" spans="2:6" ht="15.75" customHeight="1" x14ac:dyDescent="0.2">
      <c r="B27" s="18"/>
      <c r="C27" s="19"/>
      <c r="D27" s="140"/>
      <c r="E27" s="21"/>
      <c r="F27" s="30"/>
    </row>
    <row r="28" spans="2:6" ht="15.75" customHeight="1" x14ac:dyDescent="0.2">
      <c r="B28" s="18"/>
      <c r="C28" s="260" t="s">
        <v>347</v>
      </c>
      <c r="D28" s="278"/>
      <c r="E28" s="21"/>
      <c r="F28" s="30"/>
    </row>
    <row r="29" spans="2:6" ht="15.75" customHeight="1" x14ac:dyDescent="0.2">
      <c r="B29" s="18"/>
      <c r="C29" s="19" t="s">
        <v>242</v>
      </c>
      <c r="D29" s="140">
        <f>D23/(D15-D11)</f>
        <v>6525157.2327044019</v>
      </c>
      <c r="E29" s="21"/>
      <c r="F29" s="30"/>
    </row>
    <row r="30" spans="2:6" ht="15.75" customHeight="1" x14ac:dyDescent="0.2">
      <c r="B30" s="18"/>
      <c r="C30" s="19" t="s">
        <v>343</v>
      </c>
      <c r="D30" s="140">
        <f>D24/(D15-D12)</f>
        <v>2816711.5902964952</v>
      </c>
      <c r="E30" s="21"/>
      <c r="F30" s="30"/>
    </row>
    <row r="31" spans="2:6" ht="15.75" customHeight="1" x14ac:dyDescent="0.2">
      <c r="B31" s="18"/>
      <c r="C31" s="19" t="s">
        <v>344</v>
      </c>
      <c r="D31" s="140">
        <f>D25/(D15-D13)</f>
        <v>765199.16142557643</v>
      </c>
      <c r="E31" s="21"/>
      <c r="F31" s="30"/>
    </row>
    <row r="32" spans="2:6" ht="15.75" customHeight="1" x14ac:dyDescent="0.2">
      <c r="B32" s="18"/>
      <c r="C32" s="19" t="s">
        <v>346</v>
      </c>
      <c r="D32" s="140">
        <f>D26/(D15-(-D14))</f>
        <v>943396.22641509434</v>
      </c>
      <c r="E32" s="21"/>
      <c r="F32" s="31"/>
    </row>
    <row r="33" spans="2:8" ht="15.75" customHeight="1" x14ac:dyDescent="0.2">
      <c r="B33" s="18"/>
      <c r="C33" s="19"/>
      <c r="D33" s="140"/>
      <c r="E33" s="21"/>
      <c r="F33" s="31"/>
    </row>
    <row r="34" spans="2:8" ht="15.75" customHeight="1" x14ac:dyDescent="0.2">
      <c r="B34" s="18"/>
      <c r="C34" s="260" t="s">
        <v>345</v>
      </c>
      <c r="D34" s="140"/>
      <c r="E34" s="21"/>
      <c r="F34" s="31"/>
    </row>
    <row r="35" spans="2:8" ht="15.75" customHeight="1" x14ac:dyDescent="0.2">
      <c r="B35" s="18"/>
      <c r="C35" s="19" t="s">
        <v>242</v>
      </c>
      <c r="D35" s="140">
        <f>D29*(1-$D$16)</f>
        <v>5089622.6415094333</v>
      </c>
      <c r="E35" s="21"/>
      <c r="F35" s="31"/>
    </row>
    <row r="36" spans="2:8" ht="15.75" customHeight="1" x14ac:dyDescent="0.2">
      <c r="B36" s="18"/>
      <c r="C36" s="19" t="s">
        <v>343</v>
      </c>
      <c r="D36" s="140">
        <f>D30*(1-$D$16)</f>
        <v>2197035.0404312662</v>
      </c>
      <c r="E36" s="21"/>
      <c r="F36" s="31"/>
    </row>
    <row r="37" spans="2:8" ht="15.75" customHeight="1" x14ac:dyDescent="0.2">
      <c r="B37" s="18"/>
      <c r="C37" s="19" t="s">
        <v>344</v>
      </c>
      <c r="D37" s="140">
        <f>D31*(1-$D$16)</f>
        <v>596855.34591194964</v>
      </c>
      <c r="E37" s="21"/>
      <c r="F37" s="31"/>
    </row>
    <row r="38" spans="2:8" ht="15.75" customHeight="1" x14ac:dyDescent="0.2">
      <c r="B38" s="18"/>
      <c r="C38" s="19" t="s">
        <v>346</v>
      </c>
      <c r="D38" s="140">
        <f>D32*(1-$D$16)</f>
        <v>735849.05660377361</v>
      </c>
      <c r="E38" s="21"/>
      <c r="F38" s="31"/>
    </row>
    <row r="39" spans="2:8" ht="15.75" customHeight="1" x14ac:dyDescent="0.2">
      <c r="B39" s="18"/>
      <c r="C39" s="19"/>
      <c r="D39" s="140"/>
      <c r="E39" s="21"/>
      <c r="F39" s="31"/>
    </row>
    <row r="40" spans="2:8" ht="15.75" customHeight="1" x14ac:dyDescent="0.25">
      <c r="B40" s="18"/>
      <c r="C40" s="19" t="s">
        <v>20</v>
      </c>
      <c r="D40" s="137">
        <f>D35-D36-D37-D38</f>
        <v>1559883.1985624442</v>
      </c>
      <c r="E40" s="21"/>
      <c r="F40" s="31"/>
    </row>
    <row r="41" spans="2:8" ht="15.75" customHeight="1" thickBot="1" x14ac:dyDescent="0.25">
      <c r="B41" s="23"/>
      <c r="C41" s="53"/>
      <c r="D41" s="63"/>
      <c r="E41" s="25"/>
      <c r="F41" s="30"/>
    </row>
    <row r="42" spans="2:8" ht="15.75" customHeight="1" x14ac:dyDescent="0.2">
      <c r="B42" s="14"/>
      <c r="C42" s="14"/>
      <c r="D42" s="14"/>
      <c r="E42" s="14"/>
      <c r="F42" s="14"/>
      <c r="G42" s="14"/>
      <c r="H42" s="14"/>
    </row>
    <row r="43" spans="2:8" ht="15.75" customHeight="1" x14ac:dyDescent="0.2"/>
    <row r="44" spans="2:8" ht="15.75" customHeight="1" x14ac:dyDescent="0.2">
      <c r="D44" s="26"/>
    </row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</sheetData>
  <phoneticPr fontId="0" type="noConversion"/>
  <pageMargins left="0.75" right="0.75" top="1" bottom="1" header="0.5" footer="0.5"/>
  <pageSetup scale="92" orientation="portrait" horizontalDpi="360" verticalDpi="36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0.42578125" bestFit="1" customWidth="1"/>
    <col min="4" max="4" width="19.42578125" bestFit="1" customWidth="1"/>
    <col min="5" max="8" width="18.85546875" bestFit="1" customWidth="1"/>
    <col min="9" max="9" width="3.140625" customWidth="1"/>
    <col min="10" max="13" width="10.28515625" bestFit="1" customWidth="1"/>
  </cols>
  <sheetData>
    <row r="1" spans="2:8" ht="18" x14ac:dyDescent="0.25">
      <c r="C1" s="1" t="s">
        <v>412</v>
      </c>
    </row>
    <row r="2" spans="2:8" ht="15.75" customHeight="1" x14ac:dyDescent="0.2">
      <c r="C2" s="3" t="s">
        <v>446</v>
      </c>
    </row>
    <row r="3" spans="2:8" ht="15.75" customHeight="1" x14ac:dyDescent="0.2"/>
    <row r="4" spans="2:8" ht="15.75" customHeight="1" x14ac:dyDescent="0.2">
      <c r="C4" s="2" t="s">
        <v>1</v>
      </c>
    </row>
    <row r="5" spans="2:8" ht="15.75" customHeight="1" thickBot="1" x14ac:dyDescent="0.25"/>
    <row r="6" spans="2:8" ht="15.75" customHeight="1" x14ac:dyDescent="0.2">
      <c r="B6" s="5"/>
      <c r="C6" s="6"/>
      <c r="D6" s="6"/>
      <c r="E6" s="6"/>
      <c r="F6" s="313"/>
      <c r="G6" s="313"/>
      <c r="H6" s="314"/>
    </row>
    <row r="7" spans="2:8" ht="15.75" customHeight="1" x14ac:dyDescent="0.2">
      <c r="B7" s="8"/>
      <c r="C7" s="13" t="s">
        <v>349</v>
      </c>
      <c r="D7" s="83">
        <v>115000000</v>
      </c>
      <c r="E7" s="275"/>
      <c r="F7" s="315"/>
      <c r="G7" s="315"/>
      <c r="H7" s="41"/>
    </row>
    <row r="8" spans="2:8" ht="15.75" customHeight="1" x14ac:dyDescent="0.2">
      <c r="B8" s="8"/>
      <c r="C8" s="13" t="s">
        <v>51</v>
      </c>
      <c r="D8" s="83"/>
      <c r="E8" s="275"/>
      <c r="F8" s="315"/>
      <c r="G8" s="315"/>
      <c r="H8" s="41"/>
    </row>
    <row r="9" spans="2:8" ht="15.75" customHeight="1" x14ac:dyDescent="0.2">
      <c r="B9" s="8"/>
      <c r="C9" s="13" t="s">
        <v>6</v>
      </c>
      <c r="D9" s="151">
        <v>0.21</v>
      </c>
      <c r="E9" s="275"/>
      <c r="F9" s="315"/>
      <c r="G9" s="315"/>
      <c r="H9" s="41"/>
    </row>
    <row r="10" spans="2:8" ht="15.75" customHeight="1" x14ac:dyDescent="0.2">
      <c r="B10" s="8"/>
      <c r="C10" s="13" t="s">
        <v>350</v>
      </c>
      <c r="D10" s="259">
        <v>415</v>
      </c>
      <c r="E10" s="275"/>
      <c r="F10" s="315"/>
      <c r="G10" s="315"/>
      <c r="H10" s="41"/>
    </row>
    <row r="11" spans="2:8" ht="15.75" customHeight="1" x14ac:dyDescent="0.2">
      <c r="B11" s="8"/>
      <c r="C11" s="13" t="s">
        <v>351</v>
      </c>
      <c r="D11" s="310">
        <v>15.7</v>
      </c>
      <c r="E11" s="275"/>
      <c r="F11" s="315"/>
      <c r="G11" s="315"/>
      <c r="H11" s="41"/>
    </row>
    <row r="12" spans="2:8" ht="15.75" customHeight="1" x14ac:dyDescent="0.2">
      <c r="B12" s="8"/>
      <c r="C12" s="13" t="s">
        <v>352</v>
      </c>
      <c r="D12" s="151">
        <v>0.02</v>
      </c>
      <c r="E12" s="275"/>
      <c r="F12" s="315"/>
      <c r="G12" s="315"/>
      <c r="H12" s="41"/>
    </row>
    <row r="13" spans="2:8" ht="15.75" customHeight="1" x14ac:dyDescent="0.2">
      <c r="B13" s="8"/>
      <c r="C13" s="13" t="s">
        <v>353</v>
      </c>
      <c r="D13" s="310">
        <v>4.0999999999999996</v>
      </c>
      <c r="E13" s="275"/>
      <c r="F13" s="315"/>
      <c r="G13" s="315"/>
      <c r="H13" s="41"/>
    </row>
    <row r="14" spans="2:8" ht="15.75" customHeight="1" x14ac:dyDescent="0.2">
      <c r="B14" s="8"/>
      <c r="C14" s="13" t="s">
        <v>354</v>
      </c>
      <c r="D14" s="151">
        <v>0.03</v>
      </c>
      <c r="E14" s="275"/>
      <c r="F14" s="315"/>
      <c r="G14" s="315"/>
      <c r="H14" s="41"/>
    </row>
    <row r="15" spans="2:8" ht="15.75" customHeight="1" x14ac:dyDescent="0.2">
      <c r="B15" s="8"/>
      <c r="C15" s="13" t="s">
        <v>199</v>
      </c>
      <c r="D15" s="151">
        <v>0.05</v>
      </c>
      <c r="E15" s="275"/>
      <c r="F15" s="315"/>
      <c r="G15" s="315"/>
      <c r="H15" s="41"/>
    </row>
    <row r="16" spans="2:8" ht="15.75" customHeight="1" x14ac:dyDescent="0.2">
      <c r="B16" s="8"/>
      <c r="C16" s="13"/>
      <c r="D16" s="151"/>
      <c r="E16" s="275"/>
      <c r="F16" s="315"/>
      <c r="G16" s="315"/>
      <c r="H16" s="41"/>
    </row>
    <row r="17" spans="2:13" ht="15.75" customHeight="1" x14ac:dyDescent="0.2">
      <c r="B17" s="8"/>
      <c r="C17" s="13"/>
      <c r="D17" s="226" t="s">
        <v>176</v>
      </c>
      <c r="E17" s="226" t="s">
        <v>177</v>
      </c>
      <c r="F17" s="226" t="s">
        <v>178</v>
      </c>
      <c r="G17" s="226" t="s">
        <v>179</v>
      </c>
      <c r="H17" s="41"/>
    </row>
    <row r="18" spans="2:13" ht="15.75" customHeight="1" x14ac:dyDescent="0.2">
      <c r="B18" s="8"/>
      <c r="C18" s="13" t="s">
        <v>439</v>
      </c>
      <c r="D18" s="274">
        <v>145000</v>
      </c>
      <c r="E18" s="89">
        <v>165000</v>
      </c>
      <c r="F18" s="89">
        <v>180000</v>
      </c>
      <c r="G18" s="89">
        <v>155000</v>
      </c>
      <c r="H18" s="41"/>
      <c r="J18" s="250"/>
      <c r="K18" s="250"/>
      <c r="L18" s="250"/>
      <c r="M18" s="250"/>
    </row>
    <row r="19" spans="2:13" ht="15.75" customHeight="1" x14ac:dyDescent="0.2">
      <c r="B19" s="8"/>
      <c r="C19" s="13" t="s">
        <v>440</v>
      </c>
      <c r="D19" s="274">
        <v>1120000</v>
      </c>
      <c r="E19" s="89">
        <v>1200000</v>
      </c>
      <c r="F19" s="89">
        <v>1360000</v>
      </c>
      <c r="G19" s="89">
        <v>1280000</v>
      </c>
      <c r="H19" s="41"/>
      <c r="J19" s="393"/>
      <c r="K19" s="393"/>
      <c r="L19" s="393"/>
      <c r="M19" s="393"/>
    </row>
    <row r="20" spans="2:13" ht="15.75" customHeight="1" x14ac:dyDescent="0.2">
      <c r="B20" s="8"/>
      <c r="C20" s="13" t="s">
        <v>441</v>
      </c>
      <c r="D20" s="89">
        <v>210000</v>
      </c>
      <c r="E20" s="89">
        <v>225000</v>
      </c>
      <c r="F20" s="89">
        <v>255000</v>
      </c>
      <c r="G20" s="89">
        <v>240000</v>
      </c>
      <c r="H20" s="41"/>
    </row>
    <row r="21" spans="2:13" ht="15.75" customHeight="1" x14ac:dyDescent="0.2">
      <c r="B21" s="8"/>
      <c r="C21" s="13"/>
      <c r="D21" s="311"/>
      <c r="E21" s="312"/>
      <c r="F21" s="316"/>
      <c r="G21" s="316"/>
      <c r="H21" s="41"/>
    </row>
    <row r="22" spans="2:13" ht="15.75" customHeight="1" x14ac:dyDescent="0.2">
      <c r="B22" s="8"/>
      <c r="C22" s="13" t="s">
        <v>294</v>
      </c>
      <c r="D22" s="151">
        <v>0.04</v>
      </c>
      <c r="E22" s="275"/>
      <c r="F22" s="315"/>
      <c r="G22" s="315"/>
      <c r="H22" s="41"/>
    </row>
    <row r="23" spans="2:13" ht="15.75" customHeight="1" thickBot="1" x14ac:dyDescent="0.25">
      <c r="B23" s="10"/>
      <c r="C23" s="28"/>
      <c r="D23" s="61"/>
      <c r="E23" s="11"/>
      <c r="F23" s="65"/>
      <c r="G23" s="65"/>
      <c r="H23" s="317"/>
    </row>
    <row r="24" spans="2:13" ht="15.75" customHeight="1" x14ac:dyDescent="0.2"/>
    <row r="25" spans="2:13" ht="15.75" customHeight="1" x14ac:dyDescent="0.2">
      <c r="C25" s="2" t="s">
        <v>2</v>
      </c>
    </row>
    <row r="26" spans="2:13" ht="15.75" customHeight="1" thickBot="1" x14ac:dyDescent="0.25"/>
    <row r="27" spans="2:13" ht="15.75" customHeight="1" x14ac:dyDescent="0.2">
      <c r="B27" s="15"/>
      <c r="C27" s="16"/>
      <c r="D27" s="16"/>
      <c r="E27" s="16"/>
      <c r="F27" s="16"/>
      <c r="G27" s="16"/>
      <c r="H27" s="16"/>
      <c r="I27" s="17"/>
      <c r="J27" s="30"/>
    </row>
    <row r="28" spans="2:13" ht="15.75" customHeight="1" x14ac:dyDescent="0.2">
      <c r="B28" s="18"/>
      <c r="C28" s="19" t="s">
        <v>355</v>
      </c>
      <c r="D28" s="20"/>
      <c r="E28" s="85">
        <f>D11</f>
        <v>15.7</v>
      </c>
      <c r="F28" s="85">
        <f>E28*(1+$D$12)</f>
        <v>16.013999999999999</v>
      </c>
      <c r="G28" s="85">
        <f>F28*(1+$D$12)</f>
        <v>16.33428</v>
      </c>
      <c r="H28" s="85">
        <f>G28*(1+$D$12)</f>
        <v>16.660965600000001</v>
      </c>
      <c r="I28" s="21"/>
      <c r="J28" s="30"/>
    </row>
    <row r="29" spans="2:13" ht="15.75" customHeight="1" x14ac:dyDescent="0.2">
      <c r="B29" s="18"/>
      <c r="C29" s="19" t="s">
        <v>356</v>
      </c>
      <c r="D29" s="20"/>
      <c r="E29" s="85">
        <f>D13</f>
        <v>4.0999999999999996</v>
      </c>
      <c r="F29" s="85">
        <f>E29*(1+$D$14)</f>
        <v>4.2229999999999999</v>
      </c>
      <c r="G29" s="85">
        <f>F29*(1+$D$14)</f>
        <v>4.3496899999999998</v>
      </c>
      <c r="H29" s="85">
        <f>G29*(1+$D$14)</f>
        <v>4.4801807</v>
      </c>
      <c r="I29" s="21"/>
      <c r="J29" s="30"/>
    </row>
    <row r="30" spans="2:13" ht="15.75" customHeight="1" x14ac:dyDescent="0.2">
      <c r="B30" s="18"/>
      <c r="C30" s="19" t="s">
        <v>359</v>
      </c>
      <c r="D30" s="20"/>
      <c r="E30" s="182">
        <f>D7/4</f>
        <v>28750000</v>
      </c>
      <c r="F30" s="182">
        <f>E30</f>
        <v>28750000</v>
      </c>
      <c r="G30" s="182">
        <f>F30</f>
        <v>28750000</v>
      </c>
      <c r="H30" s="182">
        <f>G30</f>
        <v>28750000</v>
      </c>
      <c r="I30" s="21"/>
      <c r="J30" s="30"/>
    </row>
    <row r="31" spans="2:13" ht="15.75" customHeight="1" x14ac:dyDescent="0.2">
      <c r="B31" s="18"/>
      <c r="C31" s="20"/>
      <c r="D31" s="20"/>
      <c r="E31" s="20"/>
      <c r="F31" s="20"/>
      <c r="G31" s="20"/>
      <c r="H31" s="20"/>
      <c r="I31" s="21"/>
      <c r="J31" s="30"/>
    </row>
    <row r="32" spans="2:13" ht="15.75" customHeight="1" x14ac:dyDescent="0.2">
      <c r="B32" s="18"/>
      <c r="C32" s="260"/>
      <c r="D32" s="261" t="s">
        <v>175</v>
      </c>
      <c r="E32" s="261" t="s">
        <v>176</v>
      </c>
      <c r="F32" s="261" t="s">
        <v>177</v>
      </c>
      <c r="G32" s="261" t="s">
        <v>178</v>
      </c>
      <c r="H32" s="261" t="s">
        <v>179</v>
      </c>
      <c r="I32" s="21"/>
      <c r="J32" s="30"/>
    </row>
    <row r="33" spans="2:10" ht="15.75" customHeight="1" x14ac:dyDescent="0.2">
      <c r="B33" s="18"/>
      <c r="C33" s="19" t="s">
        <v>242</v>
      </c>
      <c r="D33" s="19"/>
      <c r="E33" s="222">
        <f>D18*$D$10</f>
        <v>60175000</v>
      </c>
      <c r="F33" s="222">
        <f>E18*$D$10</f>
        <v>68475000</v>
      </c>
      <c r="G33" s="222">
        <f>F18*$D$10</f>
        <v>74700000</v>
      </c>
      <c r="H33" s="222">
        <f>G18*$D$10</f>
        <v>64325000</v>
      </c>
      <c r="I33" s="21"/>
      <c r="J33" s="30"/>
    </row>
    <row r="34" spans="2:10" ht="15.75" customHeight="1" x14ac:dyDescent="0.2">
      <c r="B34" s="18"/>
      <c r="C34" s="19" t="s">
        <v>357</v>
      </c>
      <c r="D34" s="19"/>
      <c r="E34" s="231">
        <f>D19*(E28)</f>
        <v>17584000</v>
      </c>
      <c r="F34" s="231">
        <f>E19*(F28)</f>
        <v>19216800</v>
      </c>
      <c r="G34" s="231">
        <f>F19*(G28)</f>
        <v>22214620.800000001</v>
      </c>
      <c r="H34" s="231">
        <f>G19*(H28)</f>
        <v>21326035.968000002</v>
      </c>
      <c r="I34" s="21"/>
      <c r="J34" s="30"/>
    </row>
    <row r="35" spans="2:10" ht="15.75" customHeight="1" x14ac:dyDescent="0.2">
      <c r="B35" s="18"/>
      <c r="C35" s="19" t="s">
        <v>358</v>
      </c>
      <c r="D35" s="19"/>
      <c r="E35" s="231">
        <f>E29*D20</f>
        <v>860999.99999999988</v>
      </c>
      <c r="F35" s="231">
        <f>F29*E20</f>
        <v>950175</v>
      </c>
      <c r="G35" s="231">
        <f>G29*F20</f>
        <v>1109170.95</v>
      </c>
      <c r="H35" s="231">
        <f>H29*G20</f>
        <v>1075243.368</v>
      </c>
      <c r="I35" s="21"/>
      <c r="J35" s="30"/>
    </row>
    <row r="36" spans="2:10" ht="15.75" customHeight="1" x14ac:dyDescent="0.2">
      <c r="B36" s="18"/>
      <c r="C36" s="19" t="s">
        <v>5</v>
      </c>
      <c r="D36" s="19"/>
      <c r="E36" s="273">
        <f>($D$7/4)/(1+$D$15)</f>
        <v>27380952.380952381</v>
      </c>
      <c r="F36" s="273">
        <f>($D$7/4)/((1+$D$15)^2)</f>
        <v>26077097.505668934</v>
      </c>
      <c r="G36" s="273">
        <f>($D$7/4)/((1+$D$15)^3)</f>
        <v>24835330.957779936</v>
      </c>
      <c r="H36" s="273">
        <f>($D$7/4)/((1+$D$15)^4)</f>
        <v>23652696.150266606</v>
      </c>
      <c r="I36" s="21"/>
      <c r="J36" s="30"/>
    </row>
    <row r="37" spans="2:10" ht="15.75" customHeight="1" x14ac:dyDescent="0.2">
      <c r="B37" s="18"/>
      <c r="C37" s="19" t="s">
        <v>8</v>
      </c>
      <c r="D37" s="20"/>
      <c r="E37" s="222">
        <f>E33-E34-E35-E36</f>
        <v>14349047.619047619</v>
      </c>
      <c r="F37" s="222">
        <f>F33-F34-F35-F36</f>
        <v>22230927.494331066</v>
      </c>
      <c r="G37" s="222">
        <f>G33-G34-G35-G36</f>
        <v>26540877.292220064</v>
      </c>
      <c r="H37" s="222">
        <f>H33-H34-H35-H36</f>
        <v>18271024.513733391</v>
      </c>
      <c r="I37" s="21"/>
      <c r="J37" s="30"/>
    </row>
    <row r="38" spans="2:10" ht="15.75" customHeight="1" x14ac:dyDescent="0.2">
      <c r="B38" s="18"/>
      <c r="C38" s="19" t="s">
        <v>76</v>
      </c>
      <c r="D38" s="19"/>
      <c r="E38" s="231">
        <f>E37*$D$9</f>
        <v>3013300</v>
      </c>
      <c r="F38" s="231">
        <f>F37*$D$9</f>
        <v>4668494.7738095233</v>
      </c>
      <c r="G38" s="231">
        <f>G37*$D$9</f>
        <v>5573584.2313662134</v>
      </c>
      <c r="H38" s="231">
        <f>H37*$D$9</f>
        <v>3836915.1478840117</v>
      </c>
      <c r="I38" s="21"/>
      <c r="J38" s="30"/>
    </row>
    <row r="39" spans="2:10" ht="15.75" customHeight="1" thickBot="1" x14ac:dyDescent="0.25">
      <c r="B39" s="18"/>
      <c r="C39" s="19" t="s">
        <v>110</v>
      </c>
      <c r="D39" s="19"/>
      <c r="E39" s="272">
        <f>E37-E38</f>
        <v>11335747.619047619</v>
      </c>
      <c r="F39" s="272">
        <f>F37-F38</f>
        <v>17562432.720521543</v>
      </c>
      <c r="G39" s="272">
        <f>G37-G38</f>
        <v>20967293.06085385</v>
      </c>
      <c r="H39" s="272">
        <f>H37-H38</f>
        <v>14434109.365849379</v>
      </c>
      <c r="I39" s="21"/>
      <c r="J39" s="30"/>
    </row>
    <row r="40" spans="2:10" ht="15.75" customHeight="1" thickTop="1" x14ac:dyDescent="0.2">
      <c r="B40" s="18"/>
      <c r="C40" s="19" t="s">
        <v>11</v>
      </c>
      <c r="D40" s="19"/>
      <c r="E40" s="222">
        <f>E39+E36</f>
        <v>38716700</v>
      </c>
      <c r="F40" s="222">
        <f>F39+F36</f>
        <v>43639530.226190478</v>
      </c>
      <c r="G40" s="222">
        <f>G39+G36</f>
        <v>45802624.018633783</v>
      </c>
      <c r="H40" s="222">
        <f>H39+H36</f>
        <v>38086805.516115986</v>
      </c>
      <c r="I40" s="21"/>
      <c r="J40" s="30"/>
    </row>
    <row r="41" spans="2:10" ht="15.75" customHeight="1" x14ac:dyDescent="0.2">
      <c r="B41" s="18"/>
      <c r="C41" s="19"/>
      <c r="D41" s="19"/>
      <c r="E41" s="19"/>
      <c r="F41" s="19"/>
      <c r="G41" s="19"/>
      <c r="H41" s="19"/>
      <c r="I41" s="21"/>
      <c r="J41" s="30"/>
    </row>
    <row r="42" spans="2:10" ht="15.75" customHeight="1" x14ac:dyDescent="0.2">
      <c r="B42" s="18"/>
      <c r="C42" s="19" t="s">
        <v>114</v>
      </c>
      <c r="D42" s="78">
        <f>-D7</f>
        <v>-115000000</v>
      </c>
      <c r="E42" s="19"/>
      <c r="F42" s="19"/>
      <c r="G42" s="19"/>
      <c r="H42" s="19"/>
      <c r="I42" s="21"/>
      <c r="J42" s="30"/>
    </row>
    <row r="43" spans="2:10" ht="15.75" customHeight="1" x14ac:dyDescent="0.2">
      <c r="B43" s="18"/>
      <c r="C43" s="19"/>
      <c r="D43" s="19"/>
      <c r="E43" s="19"/>
      <c r="F43" s="19"/>
      <c r="G43" s="19"/>
      <c r="H43" s="19"/>
      <c r="I43" s="21"/>
      <c r="J43" s="30"/>
    </row>
    <row r="44" spans="2:10" ht="15.75" customHeight="1" x14ac:dyDescent="0.2">
      <c r="B44" s="18"/>
      <c r="C44" s="19" t="s">
        <v>115</v>
      </c>
      <c r="D44" s="182">
        <f>D42</f>
        <v>-115000000</v>
      </c>
      <c r="E44" s="85">
        <f>E40</f>
        <v>38716700</v>
      </c>
      <c r="F44" s="85">
        <f>F40</f>
        <v>43639530.226190478</v>
      </c>
      <c r="G44" s="85">
        <f>G40</f>
        <v>45802624.018633783</v>
      </c>
      <c r="H44" s="85">
        <f>H40</f>
        <v>38086805.516115986</v>
      </c>
      <c r="I44" s="21"/>
      <c r="J44" s="30"/>
    </row>
    <row r="45" spans="2:10" ht="15.75" customHeight="1" x14ac:dyDescent="0.2">
      <c r="B45" s="18"/>
      <c r="C45" s="20"/>
      <c r="D45" s="20"/>
      <c r="E45" s="20"/>
      <c r="F45" s="20"/>
      <c r="G45" s="20"/>
      <c r="H45" s="20"/>
      <c r="I45" s="21"/>
      <c r="J45" s="30"/>
    </row>
    <row r="46" spans="2:10" ht="15.75" customHeight="1" x14ac:dyDescent="0.25">
      <c r="B46" s="18"/>
      <c r="C46" s="19" t="s">
        <v>20</v>
      </c>
      <c r="D46" s="129">
        <f>NPV(D22,E40:H40)+D44</f>
        <v>35849921.905894965</v>
      </c>
      <c r="E46" s="260"/>
      <c r="F46" s="260"/>
      <c r="G46" s="260"/>
      <c r="H46" s="260"/>
      <c r="I46" s="21"/>
      <c r="J46" s="30"/>
    </row>
    <row r="47" spans="2:10" ht="15.75" customHeight="1" thickBot="1" x14ac:dyDescent="0.25">
      <c r="B47" s="23"/>
      <c r="C47" s="53"/>
      <c r="D47" s="53"/>
      <c r="E47" s="53"/>
      <c r="F47" s="53"/>
      <c r="G47" s="53"/>
      <c r="H47" s="53"/>
      <c r="I47" s="25"/>
      <c r="J47" s="30"/>
    </row>
    <row r="48" spans="2:10" ht="15.75" customHeight="1" x14ac:dyDescent="0.2">
      <c r="B48" s="14"/>
      <c r="C48" s="14"/>
      <c r="D48" s="14"/>
      <c r="E48" s="14"/>
      <c r="F48" s="14"/>
      <c r="G48" s="14"/>
      <c r="H48" s="14"/>
    </row>
    <row r="49" spans="4:4" ht="15.75" customHeight="1" x14ac:dyDescent="0.2"/>
    <row r="50" spans="4:4" ht="15.75" customHeight="1" x14ac:dyDescent="0.2">
      <c r="D50" s="26"/>
    </row>
    <row r="51" spans="4:4" ht="15.75" customHeight="1" x14ac:dyDescent="0.2"/>
    <row r="52" spans="4:4" ht="15.75" customHeight="1" x14ac:dyDescent="0.2"/>
    <row r="53" spans="4:4" ht="15.75" customHeight="1" x14ac:dyDescent="0.2"/>
    <row r="54" spans="4:4" ht="15.75" customHeight="1" x14ac:dyDescent="0.2"/>
    <row r="55" spans="4:4" ht="15.75" customHeight="1" x14ac:dyDescent="0.2"/>
    <row r="56" spans="4:4" ht="15.75" customHeight="1" x14ac:dyDescent="0.2"/>
    <row r="57" spans="4:4" ht="15.75" customHeight="1" x14ac:dyDescent="0.2"/>
    <row r="58" spans="4:4" ht="15.75" customHeight="1" x14ac:dyDescent="0.2"/>
  </sheetData>
  <phoneticPr fontId="0" type="noConversion"/>
  <pageMargins left="0.75" right="0.75" top="1" bottom="1" header="0.5" footer="0.5"/>
  <pageSetup scale="64" orientation="portrait" horizontalDpi="360" verticalDpi="36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85546875" bestFit="1" customWidth="1"/>
    <col min="5" max="5" width="3.140625" customWidth="1"/>
    <col min="6" max="7" width="18.140625" customWidth="1"/>
    <col min="8" max="8" width="3.140625" customWidth="1"/>
    <col min="9" max="9" width="9.140625" customWidth="1"/>
  </cols>
  <sheetData>
    <row r="1" spans="2:8" ht="18" x14ac:dyDescent="0.25">
      <c r="C1" s="1" t="s">
        <v>412</v>
      </c>
    </row>
    <row r="2" spans="2:8" ht="15.75" customHeight="1" x14ac:dyDescent="0.2">
      <c r="C2" s="3" t="s">
        <v>447</v>
      </c>
    </row>
    <row r="3" spans="2:8" ht="15.75" customHeight="1" x14ac:dyDescent="0.2"/>
    <row r="4" spans="2:8" ht="15.75" customHeight="1" x14ac:dyDescent="0.2">
      <c r="C4" s="2" t="s">
        <v>1</v>
      </c>
    </row>
    <row r="5" spans="2:8" ht="15.75" customHeight="1" thickBot="1" x14ac:dyDescent="0.25"/>
    <row r="6" spans="2:8" ht="15.75" customHeight="1" x14ac:dyDescent="0.2">
      <c r="B6" s="5"/>
      <c r="C6" s="6"/>
      <c r="D6" s="6"/>
      <c r="E6" s="7"/>
    </row>
    <row r="7" spans="2:8" ht="15.75" customHeight="1" x14ac:dyDescent="0.2">
      <c r="B7" s="8"/>
      <c r="C7" s="268" t="s">
        <v>377</v>
      </c>
      <c r="D7" s="4"/>
      <c r="E7" s="9"/>
      <c r="H7" s="57"/>
    </row>
    <row r="8" spans="2:8" ht="15.75" customHeight="1" x14ac:dyDescent="0.2">
      <c r="B8" s="8"/>
      <c r="C8" s="13" t="s">
        <v>378</v>
      </c>
      <c r="D8" s="284">
        <v>8.25</v>
      </c>
      <c r="E8" s="9"/>
    </row>
    <row r="9" spans="2:8" ht="15.75" customHeight="1" x14ac:dyDescent="0.2">
      <c r="B9" s="8"/>
      <c r="C9" s="13" t="s">
        <v>379</v>
      </c>
      <c r="D9" s="89">
        <v>3200000</v>
      </c>
      <c r="E9" s="9"/>
    </row>
    <row r="10" spans="2:8" ht="15.75" customHeight="1" x14ac:dyDescent="0.2">
      <c r="B10" s="8"/>
      <c r="C10" s="13" t="s">
        <v>380</v>
      </c>
      <c r="D10" s="321">
        <v>3.6</v>
      </c>
      <c r="E10" s="9"/>
    </row>
    <row r="11" spans="2:8" ht="15.75" customHeight="1" x14ac:dyDescent="0.2">
      <c r="B11" s="8"/>
      <c r="C11" s="13" t="s">
        <v>30</v>
      </c>
      <c r="D11" s="269">
        <v>28000000</v>
      </c>
      <c r="E11" s="9"/>
    </row>
    <row r="12" spans="2:8" ht="15.75" customHeight="1" x14ac:dyDescent="0.2">
      <c r="B12" s="8"/>
      <c r="C12" s="13"/>
      <c r="D12" s="269"/>
      <c r="E12" s="9"/>
    </row>
    <row r="13" spans="2:8" ht="15.75" customHeight="1" x14ac:dyDescent="0.2">
      <c r="B13" s="8"/>
      <c r="C13" s="268" t="s">
        <v>381</v>
      </c>
      <c r="D13" s="82"/>
      <c r="E13" s="9"/>
    </row>
    <row r="14" spans="2:8" ht="15.75" customHeight="1" x14ac:dyDescent="0.2">
      <c r="B14" s="8"/>
      <c r="C14" s="13" t="s">
        <v>378</v>
      </c>
      <c r="D14" s="389">
        <f>D8</f>
        <v>8.25</v>
      </c>
      <c r="E14" s="9"/>
    </row>
    <row r="15" spans="2:8" ht="15.75" customHeight="1" x14ac:dyDescent="0.2">
      <c r="B15" s="8"/>
      <c r="C15" s="13" t="s">
        <v>379</v>
      </c>
      <c r="D15" s="89">
        <v>4900000</v>
      </c>
      <c r="E15" s="9"/>
    </row>
    <row r="16" spans="2:8" ht="15.75" customHeight="1" x14ac:dyDescent="0.2">
      <c r="B16" s="8"/>
      <c r="C16" s="13" t="s">
        <v>380</v>
      </c>
      <c r="D16" s="321">
        <v>4.55</v>
      </c>
      <c r="E16" s="9"/>
    </row>
    <row r="17" spans="2:9" ht="15.75" customHeight="1" x14ac:dyDescent="0.2">
      <c r="B17" s="8"/>
      <c r="C17" s="13" t="s">
        <v>30</v>
      </c>
      <c r="D17" s="269">
        <v>36000000</v>
      </c>
      <c r="E17" s="9"/>
    </row>
    <row r="18" spans="2:9" ht="15.75" customHeight="1" x14ac:dyDescent="0.2">
      <c r="B18" s="8"/>
      <c r="C18" s="13" t="s">
        <v>382</v>
      </c>
      <c r="D18" s="83">
        <v>1000000</v>
      </c>
      <c r="E18" s="9"/>
    </row>
    <row r="19" spans="2:9" ht="15.75" customHeight="1" x14ac:dyDescent="0.2">
      <c r="B19" s="8"/>
      <c r="C19" s="13"/>
      <c r="D19" s="83"/>
      <c r="E19" s="9"/>
    </row>
    <row r="20" spans="2:9" ht="15.75" customHeight="1" x14ac:dyDescent="0.2">
      <c r="B20" s="8"/>
      <c r="C20" s="268" t="s">
        <v>383</v>
      </c>
      <c r="D20" s="83"/>
      <c r="E20" s="9"/>
    </row>
    <row r="21" spans="2:9" ht="15.75" customHeight="1" x14ac:dyDescent="0.2">
      <c r="B21" s="8"/>
      <c r="C21" s="13" t="s">
        <v>199</v>
      </c>
      <c r="D21" s="151">
        <v>0.03</v>
      </c>
      <c r="E21" s="9"/>
    </row>
    <row r="22" spans="2:9" ht="15.75" customHeight="1" x14ac:dyDescent="0.2">
      <c r="B22" s="8"/>
      <c r="C22" s="13" t="s">
        <v>384</v>
      </c>
      <c r="D22" s="89">
        <v>3</v>
      </c>
      <c r="E22" s="9"/>
    </row>
    <row r="23" spans="2:9" ht="15.75" customHeight="1" x14ac:dyDescent="0.2">
      <c r="B23" s="8"/>
      <c r="C23" s="13" t="s">
        <v>6</v>
      </c>
      <c r="D23" s="151">
        <v>0.22</v>
      </c>
      <c r="E23" s="9"/>
    </row>
    <row r="24" spans="2:9" ht="15.75" customHeight="1" x14ac:dyDescent="0.2">
      <c r="B24" s="8"/>
      <c r="C24" s="13" t="s">
        <v>294</v>
      </c>
      <c r="D24" s="82">
        <v>0.05</v>
      </c>
      <c r="E24" s="9"/>
    </row>
    <row r="25" spans="2:9" ht="15.75" customHeight="1" thickBot="1" x14ac:dyDescent="0.25">
      <c r="B25" s="10"/>
      <c r="C25" s="28"/>
      <c r="D25" s="61"/>
      <c r="E25" s="12"/>
    </row>
    <row r="26" spans="2:9" ht="15.75" customHeight="1" x14ac:dyDescent="0.2"/>
    <row r="27" spans="2:9" ht="15.75" customHeight="1" x14ac:dyDescent="0.2">
      <c r="C27" s="2" t="s">
        <v>2</v>
      </c>
    </row>
    <row r="28" spans="2:9" ht="15.75" customHeight="1" thickBot="1" x14ac:dyDescent="0.25"/>
    <row r="29" spans="2:9" ht="15.75" customHeight="1" x14ac:dyDescent="0.2">
      <c r="B29" s="15"/>
      <c r="C29" s="16"/>
      <c r="D29" s="16"/>
      <c r="E29" s="16"/>
      <c r="F29" s="16"/>
      <c r="G29" s="16"/>
      <c r="H29" s="17"/>
      <c r="I29" s="30"/>
    </row>
    <row r="30" spans="2:9" ht="15.75" customHeight="1" x14ac:dyDescent="0.35">
      <c r="B30" s="18"/>
      <c r="C30" s="260" t="s">
        <v>377</v>
      </c>
      <c r="D30" s="322" t="s">
        <v>176</v>
      </c>
      <c r="E30" s="323"/>
      <c r="F30" s="323" t="s">
        <v>177</v>
      </c>
      <c r="G30" s="323" t="s">
        <v>178</v>
      </c>
      <c r="H30" s="21"/>
      <c r="I30" s="30"/>
    </row>
    <row r="31" spans="2:9" ht="15.75" customHeight="1" x14ac:dyDescent="0.2">
      <c r="B31" s="18"/>
      <c r="C31" s="19" t="s">
        <v>10</v>
      </c>
      <c r="D31" s="270">
        <f>D8*D9</f>
        <v>26400000</v>
      </c>
      <c r="E31" s="20"/>
      <c r="F31" s="182">
        <f>D31</f>
        <v>26400000</v>
      </c>
      <c r="G31" s="182">
        <f>F31</f>
        <v>26400000</v>
      </c>
      <c r="H31" s="21"/>
      <c r="I31" s="30"/>
    </row>
    <row r="32" spans="2:9" ht="15.75" customHeight="1" x14ac:dyDescent="0.2">
      <c r="B32" s="18"/>
      <c r="C32" s="19" t="s">
        <v>385</v>
      </c>
      <c r="D32" s="138">
        <f>D10*D9</f>
        <v>11520000</v>
      </c>
      <c r="E32" s="20"/>
      <c r="F32" s="79">
        <f>D32</f>
        <v>11520000</v>
      </c>
      <c r="G32" s="79">
        <f>F32</f>
        <v>11520000</v>
      </c>
      <c r="H32" s="21"/>
      <c r="I32" s="30"/>
    </row>
    <row r="33" spans="2:9" ht="15.75" customHeight="1" x14ac:dyDescent="0.2">
      <c r="B33" s="18"/>
      <c r="C33" s="19" t="s">
        <v>5</v>
      </c>
      <c r="D33" s="225">
        <f>(D11/D22)/(1+D21)</f>
        <v>9061488.6731391586</v>
      </c>
      <c r="E33" s="20"/>
      <c r="F33" s="81">
        <f>D33/(1+D21)</f>
        <v>8797561.8185817078</v>
      </c>
      <c r="G33" s="81">
        <f>F33/(1+D21)</f>
        <v>8541322.1539628226</v>
      </c>
      <c r="H33" s="21"/>
      <c r="I33" s="30"/>
    </row>
    <row r="34" spans="2:9" ht="15.75" customHeight="1" x14ac:dyDescent="0.2">
      <c r="B34" s="18"/>
      <c r="C34" s="19" t="s">
        <v>8</v>
      </c>
      <c r="D34" s="95">
        <f>D31-D32-D33</f>
        <v>5818511.3268608414</v>
      </c>
      <c r="E34" s="20"/>
      <c r="F34" s="95">
        <f>F31-F32-F33</f>
        <v>6082438.1814182922</v>
      </c>
      <c r="G34" s="95">
        <f>G31-G32-G33</f>
        <v>6338677.8460371774</v>
      </c>
      <c r="H34" s="21"/>
      <c r="I34" s="30"/>
    </row>
    <row r="35" spans="2:9" ht="15.75" customHeight="1" x14ac:dyDescent="0.2">
      <c r="B35" s="18"/>
      <c r="C35" s="19" t="s">
        <v>150</v>
      </c>
      <c r="D35" s="138">
        <f>D34*$D$23</f>
        <v>1280072.4919093852</v>
      </c>
      <c r="E35" s="20"/>
      <c r="F35" s="138">
        <f>F34*$D$23</f>
        <v>1338136.3999120244</v>
      </c>
      <c r="G35" s="138">
        <f>G34*$D$23</f>
        <v>1394509.126128179</v>
      </c>
      <c r="H35" s="21"/>
      <c r="I35" s="30"/>
    </row>
    <row r="36" spans="2:9" ht="15.75" customHeight="1" thickBot="1" x14ac:dyDescent="0.25">
      <c r="B36" s="18"/>
      <c r="C36" s="19" t="s">
        <v>110</v>
      </c>
      <c r="D36" s="159">
        <f>D34-D35</f>
        <v>4538438.8349514566</v>
      </c>
      <c r="E36" s="20"/>
      <c r="F36" s="159">
        <f>F34-F35</f>
        <v>4744301.7815062683</v>
      </c>
      <c r="G36" s="159">
        <f>G34-G35</f>
        <v>4944168.7199089983</v>
      </c>
      <c r="H36" s="21"/>
      <c r="I36" s="30"/>
    </row>
    <row r="37" spans="2:9" ht="15.75" customHeight="1" thickTop="1" x14ac:dyDescent="0.2">
      <c r="B37" s="18"/>
      <c r="C37" s="19" t="s">
        <v>11</v>
      </c>
      <c r="D37" s="270">
        <f>D36+D33</f>
        <v>13599927.508090615</v>
      </c>
      <c r="E37" s="20"/>
      <c r="F37" s="270">
        <f>F36+F33</f>
        <v>13541863.600087976</v>
      </c>
      <c r="G37" s="270">
        <f>G36+G33</f>
        <v>13485490.873871822</v>
      </c>
      <c r="H37" s="21"/>
      <c r="I37" s="30"/>
    </row>
    <row r="38" spans="2:9" ht="15.75" customHeight="1" x14ac:dyDescent="0.2">
      <c r="B38" s="18"/>
      <c r="C38" s="19"/>
      <c r="D38" s="140"/>
      <c r="E38" s="20"/>
      <c r="F38" s="279"/>
      <c r="G38" s="279"/>
      <c r="H38" s="21"/>
      <c r="I38" s="30"/>
    </row>
    <row r="39" spans="2:9" ht="15.75" customHeight="1" x14ac:dyDescent="0.25">
      <c r="B39" s="18"/>
      <c r="C39" s="19" t="s">
        <v>293</v>
      </c>
      <c r="D39" s="137">
        <f>NPV(D24,D37:G37)-D11</f>
        <v>8884455.4425086677</v>
      </c>
      <c r="E39" s="19"/>
      <c r="F39" s="279"/>
      <c r="G39" s="279"/>
      <c r="H39" s="21"/>
      <c r="I39" s="31"/>
    </row>
    <row r="40" spans="2:9" ht="15.75" customHeight="1" x14ac:dyDescent="0.2">
      <c r="B40" s="18"/>
      <c r="C40" s="19"/>
      <c r="D40" s="140"/>
      <c r="E40" s="19"/>
      <c r="F40" s="279"/>
      <c r="G40" s="279"/>
      <c r="H40" s="21"/>
      <c r="I40" s="31"/>
    </row>
    <row r="41" spans="2:9" ht="15.75" customHeight="1" x14ac:dyDescent="0.2">
      <c r="B41" s="18"/>
      <c r="C41" s="260" t="s">
        <v>381</v>
      </c>
      <c r="D41" s="140"/>
      <c r="E41" s="19"/>
      <c r="F41" s="279"/>
      <c r="G41" s="279"/>
      <c r="H41" s="21"/>
      <c r="I41" s="31"/>
    </row>
    <row r="42" spans="2:9" ht="15.75" customHeight="1" x14ac:dyDescent="0.2">
      <c r="B42" s="18"/>
      <c r="C42" s="260"/>
      <c r="D42" s="140"/>
      <c r="E42" s="19"/>
      <c r="F42" s="279"/>
      <c r="G42" s="279"/>
      <c r="H42" s="21"/>
      <c r="I42" s="31"/>
    </row>
    <row r="43" spans="2:9" ht="15.75" customHeight="1" x14ac:dyDescent="0.2">
      <c r="B43" s="18"/>
      <c r="C43" s="260" t="s">
        <v>27</v>
      </c>
      <c r="D43" s="140"/>
      <c r="E43" s="19"/>
      <c r="F43" s="279"/>
      <c r="G43" s="279"/>
      <c r="H43" s="21"/>
      <c r="I43" s="31"/>
    </row>
    <row r="44" spans="2:9" ht="15.75" customHeight="1" x14ac:dyDescent="0.2">
      <c r="B44" s="18"/>
      <c r="C44" s="19" t="s">
        <v>402</v>
      </c>
      <c r="D44" s="95">
        <f>D18</f>
        <v>1000000</v>
      </c>
      <c r="E44" s="19"/>
      <c r="F44" s="279"/>
      <c r="G44" s="279"/>
      <c r="H44" s="21"/>
      <c r="I44" s="31"/>
    </row>
    <row r="45" spans="2:9" ht="15.75" customHeight="1" x14ac:dyDescent="0.2">
      <c r="B45" s="18"/>
      <c r="C45" s="19" t="s">
        <v>76</v>
      </c>
      <c r="D45" s="225">
        <f>(0-D44)*D23</f>
        <v>-220000</v>
      </c>
      <c r="E45" s="19"/>
      <c r="F45" s="279"/>
      <c r="G45" s="279"/>
      <c r="H45" s="21"/>
      <c r="I45" s="31"/>
    </row>
    <row r="46" spans="2:9" ht="15.75" customHeight="1" x14ac:dyDescent="0.2">
      <c r="B46" s="18"/>
      <c r="C46" s="19" t="s">
        <v>192</v>
      </c>
      <c r="D46" s="95">
        <f>D44+D45</f>
        <v>780000</v>
      </c>
      <c r="E46" s="19"/>
      <c r="F46" s="279"/>
      <c r="G46" s="279"/>
      <c r="H46" s="21"/>
      <c r="I46" s="31"/>
    </row>
    <row r="47" spans="2:9" ht="15.75" customHeight="1" x14ac:dyDescent="0.2">
      <c r="B47" s="18"/>
      <c r="C47" s="19"/>
      <c r="D47" s="140"/>
      <c r="E47" s="19"/>
      <c r="F47" s="279"/>
      <c r="G47" s="279"/>
      <c r="H47" s="21"/>
      <c r="I47" s="31"/>
    </row>
    <row r="48" spans="2:9" ht="15.75" customHeight="1" x14ac:dyDescent="0.35">
      <c r="B48" s="18"/>
      <c r="C48" s="260"/>
      <c r="D48" s="322" t="s">
        <v>176</v>
      </c>
      <c r="E48" s="323"/>
      <c r="F48" s="323" t="s">
        <v>177</v>
      </c>
      <c r="G48" s="323" t="s">
        <v>178</v>
      </c>
      <c r="H48" s="21"/>
      <c r="I48" s="31"/>
    </row>
    <row r="49" spans="2:9" ht="15.75" customHeight="1" x14ac:dyDescent="0.2">
      <c r="B49" s="18"/>
      <c r="C49" s="19" t="s">
        <v>10</v>
      </c>
      <c r="D49" s="270">
        <f>D14*D15</f>
        <v>40425000</v>
      </c>
      <c r="E49" s="20"/>
      <c r="F49" s="182">
        <f>D49</f>
        <v>40425000</v>
      </c>
      <c r="G49" s="182">
        <f>F49</f>
        <v>40425000</v>
      </c>
      <c r="H49" s="21"/>
      <c r="I49" s="31"/>
    </row>
    <row r="50" spans="2:9" ht="15.75" customHeight="1" x14ac:dyDescent="0.2">
      <c r="B50" s="18"/>
      <c r="C50" s="19" t="s">
        <v>385</v>
      </c>
      <c r="D50" s="138">
        <f>D15*D16</f>
        <v>22295000</v>
      </c>
      <c r="E50" s="20"/>
      <c r="F50" s="79">
        <f>D50</f>
        <v>22295000</v>
      </c>
      <c r="G50" s="79">
        <f>F50</f>
        <v>22295000</v>
      </c>
      <c r="H50" s="21"/>
      <c r="I50" s="31"/>
    </row>
    <row r="51" spans="2:9" ht="15.75" customHeight="1" x14ac:dyDescent="0.2">
      <c r="B51" s="18"/>
      <c r="C51" s="19" t="s">
        <v>5</v>
      </c>
      <c r="D51" s="225">
        <f>(D17/D22)/(1+D21)</f>
        <v>11650485.436893204</v>
      </c>
      <c r="E51" s="20"/>
      <c r="F51" s="81">
        <f>D51/(1+D21)</f>
        <v>11311150.909605052</v>
      </c>
      <c r="G51" s="81">
        <f>F51/(1+D21)</f>
        <v>10981699.912237914</v>
      </c>
      <c r="H51" s="21"/>
      <c r="I51" s="31"/>
    </row>
    <row r="52" spans="2:9" ht="15.75" customHeight="1" x14ac:dyDescent="0.2">
      <c r="B52" s="18"/>
      <c r="C52" s="19" t="s">
        <v>8</v>
      </c>
      <c r="D52" s="95">
        <f>D49-D50-D51</f>
        <v>6479514.5631067958</v>
      </c>
      <c r="E52" s="20"/>
      <c r="F52" s="95">
        <f>F49-F50-F51</f>
        <v>6818849.0903949477</v>
      </c>
      <c r="G52" s="95">
        <f>G49-G50-G51</f>
        <v>7148300.0877620857</v>
      </c>
      <c r="H52" s="21"/>
      <c r="I52" s="31"/>
    </row>
    <row r="53" spans="2:9" ht="15.75" customHeight="1" x14ac:dyDescent="0.2">
      <c r="B53" s="18"/>
      <c r="C53" s="19" t="s">
        <v>150</v>
      </c>
      <c r="D53" s="138">
        <f>D52*$D$23</f>
        <v>1425493.2038834952</v>
      </c>
      <c r="E53" s="20"/>
      <c r="F53" s="138">
        <f>F52*$D$23</f>
        <v>1500146.7998868886</v>
      </c>
      <c r="G53" s="138">
        <f>G52*$D$23</f>
        <v>1572626.0193076588</v>
      </c>
      <c r="H53" s="21"/>
      <c r="I53" s="31"/>
    </row>
    <row r="54" spans="2:9" ht="15.75" customHeight="1" thickBot="1" x14ac:dyDescent="0.25">
      <c r="B54" s="18"/>
      <c r="C54" s="19" t="s">
        <v>110</v>
      </c>
      <c r="D54" s="159">
        <f>D52-D53</f>
        <v>5054021.3592233006</v>
      </c>
      <c r="E54" s="20"/>
      <c r="F54" s="159">
        <f>F52-F53</f>
        <v>5318702.2905080589</v>
      </c>
      <c r="G54" s="159">
        <f>G52-G53</f>
        <v>5575674.0684544267</v>
      </c>
      <c r="H54" s="21"/>
      <c r="I54" s="31"/>
    </row>
    <row r="55" spans="2:9" ht="15.75" customHeight="1" thickTop="1" x14ac:dyDescent="0.2">
      <c r="B55" s="18"/>
      <c r="C55" s="19" t="s">
        <v>11</v>
      </c>
      <c r="D55" s="270">
        <f>D54+D51</f>
        <v>16704506.796116505</v>
      </c>
      <c r="E55" s="20"/>
      <c r="F55" s="270">
        <f>F54+F51</f>
        <v>16629853.20011311</v>
      </c>
      <c r="G55" s="270">
        <f>G54+G51</f>
        <v>16557373.980692342</v>
      </c>
      <c r="H55" s="21"/>
      <c r="I55" s="31"/>
    </row>
    <row r="56" spans="2:9" ht="15.75" customHeight="1" x14ac:dyDescent="0.2">
      <c r="B56" s="18"/>
      <c r="C56" s="19"/>
      <c r="D56" s="140"/>
      <c r="E56" s="20"/>
      <c r="F56" s="279"/>
      <c r="G56" s="279"/>
      <c r="H56" s="21"/>
      <c r="I56" s="31"/>
    </row>
    <row r="57" spans="2:9" ht="15.75" customHeight="1" x14ac:dyDescent="0.25">
      <c r="B57" s="18"/>
      <c r="C57" s="19" t="s">
        <v>293</v>
      </c>
      <c r="D57" s="137">
        <f>NPV(D24,D55,F55,G55)-D17+(D46/(1+D24)^3)</f>
        <v>9969496.6707954202</v>
      </c>
      <c r="E57" s="19"/>
      <c r="F57" s="279"/>
      <c r="G57" s="279"/>
      <c r="H57" s="21"/>
      <c r="I57" s="31"/>
    </row>
    <row r="58" spans="2:9" ht="15.75" customHeight="1" x14ac:dyDescent="0.2">
      <c r="B58" s="18"/>
      <c r="C58" s="19"/>
      <c r="D58" s="140"/>
      <c r="E58" s="19"/>
      <c r="F58" s="20"/>
      <c r="G58" s="20"/>
      <c r="H58" s="21"/>
      <c r="I58" s="31"/>
    </row>
    <row r="59" spans="2:9" ht="15.75" customHeight="1" x14ac:dyDescent="0.25">
      <c r="B59" s="18"/>
      <c r="C59" s="19" t="s">
        <v>386</v>
      </c>
      <c r="D59" s="324" t="str">
        <f>IF(D57&gt;D39,"headache and arthritis","headache only")</f>
        <v>headache and arthritis</v>
      </c>
      <c r="E59" s="19"/>
      <c r="F59" s="20"/>
      <c r="G59" s="20"/>
      <c r="H59" s="21"/>
      <c r="I59" s="31"/>
    </row>
    <row r="60" spans="2:9" ht="15.75" customHeight="1" x14ac:dyDescent="0.2">
      <c r="B60" s="18"/>
      <c r="C60" s="19" t="s">
        <v>387</v>
      </c>
      <c r="D60" s="141"/>
      <c r="E60" s="19"/>
      <c r="F60" s="20"/>
      <c r="G60" s="20"/>
      <c r="H60" s="21"/>
      <c r="I60" s="31"/>
    </row>
    <row r="61" spans="2:9" ht="15.75" customHeight="1" thickBot="1" x14ac:dyDescent="0.25">
      <c r="B61" s="23"/>
      <c r="C61" s="53"/>
      <c r="D61" s="63"/>
      <c r="E61" s="24"/>
      <c r="F61" s="24"/>
      <c r="G61" s="24"/>
      <c r="H61" s="25"/>
      <c r="I61" s="30"/>
    </row>
    <row r="62" spans="2:9" ht="15.75" customHeight="1" x14ac:dyDescent="0.2">
      <c r="B62" s="14"/>
      <c r="C62" s="14"/>
      <c r="D62" s="14"/>
      <c r="E62" s="14"/>
      <c r="F62" s="14"/>
      <c r="G62" s="14"/>
      <c r="H62" s="14"/>
      <c r="I62" s="14"/>
    </row>
    <row r="63" spans="2:9" ht="15.75" customHeight="1" x14ac:dyDescent="0.2"/>
    <row r="64" spans="2:9" ht="15.75" customHeight="1" x14ac:dyDescent="0.2">
      <c r="D64" s="26"/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</sheetData>
  <phoneticPr fontId="0" type="noConversion"/>
  <pageMargins left="0.75" right="0.75" top="1" bottom="1" header="0.5" footer="0.5"/>
  <pageSetup scale="70" orientation="portrait" horizontalDpi="360" verticalDpi="36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zoomScaleNormal="100" workbookViewId="0">
      <selection activeCell="C2" sqref="C2"/>
    </sheetView>
  </sheetViews>
  <sheetFormatPr defaultRowHeight="15" x14ac:dyDescent="0.2"/>
  <cols>
    <col min="1" max="1" width="9.140625" style="199"/>
    <col min="2" max="2" width="3.140625" style="199" customWidth="1"/>
    <col min="3" max="3" width="21.85546875" style="199" bestFit="1" customWidth="1"/>
    <col min="4" max="4" width="17.5703125" style="199" bestFit="1" customWidth="1"/>
    <col min="5" max="6" width="16.28515625" style="199" customWidth="1"/>
    <col min="7" max="7" width="16.28515625" style="199" bestFit="1" customWidth="1"/>
    <col min="8" max="8" width="15.5703125" style="199" bestFit="1" customWidth="1"/>
  </cols>
  <sheetData>
    <row r="1" spans="1:8" ht="18" x14ac:dyDescent="0.25">
      <c r="A1" s="3"/>
      <c r="B1" s="3"/>
      <c r="C1" s="1" t="s">
        <v>412</v>
      </c>
    </row>
    <row r="2" spans="1:8" ht="15.75" customHeight="1" x14ac:dyDescent="0.2">
      <c r="A2" s="3"/>
      <c r="B2" s="3"/>
      <c r="C2" s="3" t="s">
        <v>448</v>
      </c>
    </row>
    <row r="3" spans="1:8" ht="15.75" customHeight="1" x14ac:dyDescent="0.2">
      <c r="A3" s="3"/>
      <c r="B3" s="3"/>
      <c r="C3" s="3"/>
    </row>
    <row r="4" spans="1:8" ht="15.75" customHeight="1" x14ac:dyDescent="0.2">
      <c r="A4" s="3"/>
      <c r="B4" s="3"/>
      <c r="C4" s="2" t="s">
        <v>130</v>
      </c>
    </row>
    <row r="5" spans="1:8" ht="15.75" customHeight="1" thickBot="1" x14ac:dyDescent="0.25">
      <c r="A5" s="3"/>
      <c r="B5" s="3"/>
      <c r="C5" s="2"/>
    </row>
    <row r="6" spans="1:8" ht="15.75" customHeight="1" x14ac:dyDescent="0.2">
      <c r="B6" s="286"/>
      <c r="C6" s="287"/>
      <c r="D6" s="287"/>
      <c r="E6" s="288"/>
    </row>
    <row r="7" spans="1:8" ht="15.75" customHeight="1" x14ac:dyDescent="0.2">
      <c r="B7" s="289"/>
      <c r="C7" s="163" t="s">
        <v>307</v>
      </c>
      <c r="D7" s="290">
        <v>6150</v>
      </c>
      <c r="E7" s="291"/>
    </row>
    <row r="8" spans="1:8" ht="15.75" customHeight="1" x14ac:dyDescent="0.2">
      <c r="B8" s="289"/>
      <c r="C8" s="163" t="s">
        <v>324</v>
      </c>
      <c r="D8" s="292">
        <v>3000</v>
      </c>
      <c r="E8" s="293"/>
      <c r="F8" s="285"/>
      <c r="G8" s="285"/>
      <c r="H8" s="285"/>
    </row>
    <row r="9" spans="1:8" ht="15.75" customHeight="1" x14ac:dyDescent="0.2">
      <c r="B9" s="289"/>
      <c r="C9" s="163" t="s">
        <v>325</v>
      </c>
      <c r="D9" s="292">
        <v>3150</v>
      </c>
      <c r="E9" s="293"/>
      <c r="F9" s="285"/>
      <c r="G9" s="285"/>
      <c r="H9" s="285"/>
    </row>
    <row r="10" spans="1:8" ht="15.75" customHeight="1" x14ac:dyDescent="0.2">
      <c r="B10" s="289"/>
      <c r="C10" s="163" t="s">
        <v>326</v>
      </c>
      <c r="D10" s="292">
        <v>3700</v>
      </c>
      <c r="E10" s="293"/>
      <c r="F10" s="285"/>
      <c r="G10" s="285"/>
      <c r="H10" s="285"/>
    </row>
    <row r="11" spans="1:8" ht="15.75" customHeight="1" x14ac:dyDescent="0.2">
      <c r="B11" s="289"/>
      <c r="C11" s="163" t="s">
        <v>327</v>
      </c>
      <c r="D11" s="292">
        <v>3550</v>
      </c>
      <c r="E11" s="293"/>
      <c r="F11" s="285"/>
      <c r="G11" s="285"/>
      <c r="H11" s="285"/>
    </row>
    <row r="12" spans="1:8" ht="15.75" customHeight="1" x14ac:dyDescent="0.2">
      <c r="B12" s="289"/>
      <c r="C12" s="163" t="s">
        <v>328</v>
      </c>
      <c r="D12" s="292">
        <v>3300</v>
      </c>
      <c r="E12" s="293"/>
      <c r="F12" s="285"/>
      <c r="G12" s="285"/>
      <c r="H12" s="285"/>
    </row>
    <row r="13" spans="1:8" ht="15.75" customHeight="1" x14ac:dyDescent="0.2">
      <c r="B13" s="289"/>
      <c r="C13" s="163" t="s">
        <v>7</v>
      </c>
      <c r="D13" s="294">
        <v>0.46</v>
      </c>
      <c r="E13" s="291"/>
    </row>
    <row r="14" spans="1:8" ht="15.75" customHeight="1" x14ac:dyDescent="0.2">
      <c r="B14" s="289"/>
      <c r="C14" s="163" t="s">
        <v>78</v>
      </c>
      <c r="D14" s="290">
        <v>1930000</v>
      </c>
      <c r="E14" s="291"/>
    </row>
    <row r="15" spans="1:8" ht="15.75" customHeight="1" x14ac:dyDescent="0.2">
      <c r="B15" s="289"/>
      <c r="C15" s="163" t="s">
        <v>308</v>
      </c>
      <c r="D15" s="294">
        <v>0.14000000000000001</v>
      </c>
      <c r="E15" s="291"/>
    </row>
    <row r="16" spans="1:8" ht="15.75" customHeight="1" x14ac:dyDescent="0.2">
      <c r="B16" s="289"/>
      <c r="C16" s="163" t="s">
        <v>309</v>
      </c>
      <c r="D16" s="292">
        <v>300</v>
      </c>
      <c r="E16" s="291"/>
    </row>
    <row r="17" spans="2:5" ht="15.75" customHeight="1" x14ac:dyDescent="0.2">
      <c r="B17" s="289"/>
      <c r="C17" s="163" t="s">
        <v>310</v>
      </c>
      <c r="D17" s="290">
        <v>4600</v>
      </c>
      <c r="E17" s="291"/>
    </row>
    <row r="18" spans="2:5" ht="15.75" customHeight="1" x14ac:dyDescent="0.2">
      <c r="B18" s="289"/>
      <c r="C18" s="163" t="s">
        <v>311</v>
      </c>
      <c r="D18" s="295">
        <v>0.41</v>
      </c>
      <c r="E18" s="291"/>
    </row>
    <row r="19" spans="2:5" ht="15.75" customHeight="1" x14ac:dyDescent="0.2">
      <c r="B19" s="289"/>
      <c r="C19" s="163" t="s">
        <v>312</v>
      </c>
      <c r="D19" s="295">
        <v>0.1</v>
      </c>
      <c r="E19" s="291"/>
    </row>
    <row r="20" spans="2:5" ht="15.75" customHeight="1" x14ac:dyDescent="0.2">
      <c r="B20" s="289"/>
      <c r="C20" s="163" t="s">
        <v>160</v>
      </c>
      <c r="D20" s="290">
        <v>21000000</v>
      </c>
      <c r="E20" s="291"/>
    </row>
    <row r="21" spans="2:5" ht="15.75" customHeight="1" x14ac:dyDescent="0.2">
      <c r="B21" s="289"/>
      <c r="C21" s="163" t="s">
        <v>331</v>
      </c>
      <c r="D21" s="295"/>
      <c r="E21" s="291"/>
    </row>
    <row r="22" spans="2:5" ht="15.75" customHeight="1" x14ac:dyDescent="0.2">
      <c r="B22" s="289"/>
      <c r="C22" s="163" t="s">
        <v>332</v>
      </c>
      <c r="D22" s="300">
        <v>3200000</v>
      </c>
      <c r="E22" s="291"/>
    </row>
    <row r="23" spans="2:5" ht="15.75" customHeight="1" x14ac:dyDescent="0.2">
      <c r="B23" s="289"/>
      <c r="C23" s="163" t="s">
        <v>333</v>
      </c>
      <c r="D23" s="300">
        <v>8200000</v>
      </c>
      <c r="E23" s="291"/>
    </row>
    <row r="24" spans="2:5" ht="15.75" customHeight="1" x14ac:dyDescent="0.2">
      <c r="B24" s="289"/>
      <c r="C24" s="163" t="s">
        <v>6</v>
      </c>
      <c r="D24" s="295">
        <v>0.22</v>
      </c>
      <c r="E24" s="291"/>
    </row>
    <row r="25" spans="2:5" ht="15.75" customHeight="1" x14ac:dyDescent="0.2">
      <c r="B25" s="289"/>
      <c r="C25" s="163" t="s">
        <v>19</v>
      </c>
      <c r="D25" s="295">
        <v>0.16</v>
      </c>
      <c r="E25" s="291"/>
    </row>
    <row r="26" spans="2:5" ht="15.75" customHeight="1" x14ac:dyDescent="0.2">
      <c r="B26" s="289"/>
      <c r="C26" s="113" t="s">
        <v>263</v>
      </c>
      <c r="D26" s="394">
        <v>0.1429</v>
      </c>
      <c r="E26" s="291"/>
    </row>
    <row r="27" spans="2:5" ht="15.75" customHeight="1" x14ac:dyDescent="0.2">
      <c r="B27" s="289"/>
      <c r="C27" s="113" t="s">
        <v>264</v>
      </c>
      <c r="D27" s="394">
        <v>0.24490000000000001</v>
      </c>
      <c r="E27" s="291"/>
    </row>
    <row r="28" spans="2:5" ht="15.75" customHeight="1" x14ac:dyDescent="0.2">
      <c r="B28" s="289"/>
      <c r="C28" s="113" t="s">
        <v>265</v>
      </c>
      <c r="D28" s="394">
        <v>0.1749</v>
      </c>
      <c r="E28" s="291"/>
    </row>
    <row r="29" spans="2:5" ht="15.75" customHeight="1" thickBot="1" x14ac:dyDescent="0.25">
      <c r="B29" s="296"/>
      <c r="C29" s="297"/>
      <c r="D29" s="298"/>
      <c r="E29" s="299"/>
    </row>
    <row r="30" spans="2:5" ht="15.75" customHeight="1" x14ac:dyDescent="0.2"/>
    <row r="31" spans="2:5" ht="15.75" customHeight="1" x14ac:dyDescent="0.2">
      <c r="C31" s="2" t="s">
        <v>138</v>
      </c>
    </row>
    <row r="32" spans="2:5" ht="15.75" customHeight="1" thickBot="1" x14ac:dyDescent="0.25"/>
    <row r="33" spans="2:9" ht="15.75" customHeight="1" x14ac:dyDescent="0.2">
      <c r="B33" s="301"/>
      <c r="C33" s="302"/>
      <c r="D33" s="303"/>
      <c r="E33" s="303"/>
      <c r="F33" s="303"/>
      <c r="G33" s="303"/>
      <c r="H33" s="303"/>
      <c r="I33" s="177"/>
    </row>
    <row r="34" spans="2:9" ht="15.75" customHeight="1" x14ac:dyDescent="0.2">
      <c r="B34" s="304"/>
      <c r="C34" s="180" t="s">
        <v>88</v>
      </c>
      <c r="D34" s="217"/>
      <c r="E34" s="217"/>
      <c r="F34" s="217"/>
      <c r="G34" s="217"/>
      <c r="H34" s="217"/>
      <c r="I34" s="178"/>
    </row>
    <row r="35" spans="2:9" ht="15.75" customHeight="1" x14ac:dyDescent="0.2">
      <c r="B35" s="304"/>
      <c r="C35" s="217" t="s">
        <v>313</v>
      </c>
      <c r="D35" s="205">
        <f>-D15*D51</f>
        <v>-2583000.0000000005</v>
      </c>
      <c r="E35" s="217"/>
      <c r="F35" s="217"/>
      <c r="G35" s="217"/>
      <c r="H35" s="217"/>
      <c r="I35" s="178"/>
    </row>
    <row r="36" spans="2:9" ht="15.75" customHeight="1" x14ac:dyDescent="0.2">
      <c r="B36" s="304"/>
      <c r="C36" s="217" t="s">
        <v>314</v>
      </c>
      <c r="D36" s="209">
        <f>-D19*D52</f>
        <v>138000</v>
      </c>
      <c r="E36" s="217"/>
      <c r="F36" s="217"/>
      <c r="G36" s="217"/>
      <c r="H36" s="217"/>
      <c r="I36" s="178"/>
    </row>
    <row r="37" spans="2:9" ht="15.75" customHeight="1" x14ac:dyDescent="0.2">
      <c r="B37" s="304"/>
      <c r="C37" s="217"/>
      <c r="D37" s="205">
        <f>SUM(D35:D36)</f>
        <v>-2445000.0000000005</v>
      </c>
      <c r="E37" s="217"/>
      <c r="F37" s="217"/>
      <c r="G37" s="217"/>
      <c r="H37" s="217"/>
      <c r="I37" s="178"/>
    </row>
    <row r="38" spans="2:9" ht="15.75" customHeight="1" x14ac:dyDescent="0.2">
      <c r="B38" s="304"/>
      <c r="C38" s="217"/>
      <c r="D38" s="217"/>
      <c r="E38" s="217"/>
      <c r="F38" s="217"/>
      <c r="G38" s="217"/>
      <c r="H38" s="217"/>
      <c r="I38" s="178"/>
    </row>
    <row r="39" spans="2:9" ht="15.75" customHeight="1" x14ac:dyDescent="0.2">
      <c r="B39" s="304"/>
      <c r="C39" s="180" t="s">
        <v>401</v>
      </c>
      <c r="D39" s="217"/>
      <c r="E39" s="217"/>
      <c r="F39" s="217"/>
      <c r="G39" s="217"/>
      <c r="H39" s="217"/>
      <c r="I39" s="178"/>
    </row>
    <row r="40" spans="2:9" ht="15.75" customHeight="1" x14ac:dyDescent="0.2">
      <c r="B40" s="304"/>
      <c r="C40" s="217" t="s">
        <v>160</v>
      </c>
      <c r="D40" s="264">
        <f>-D20</f>
        <v>-21000000</v>
      </c>
      <c r="E40" s="217"/>
      <c r="F40" s="217"/>
      <c r="G40" s="217"/>
      <c r="H40" s="217"/>
      <c r="I40" s="178"/>
    </row>
    <row r="41" spans="2:9" ht="15.75" customHeight="1" x14ac:dyDescent="0.2">
      <c r="B41" s="304"/>
      <c r="C41" s="217" t="s">
        <v>315</v>
      </c>
      <c r="D41" s="205">
        <f>SUM(D40:D40)</f>
        <v>-21000000</v>
      </c>
      <c r="E41" s="217"/>
      <c r="F41" s="217"/>
      <c r="G41" s="217"/>
      <c r="H41" s="217"/>
      <c r="I41" s="178"/>
    </row>
    <row r="42" spans="2:9" ht="15.75" customHeight="1" x14ac:dyDescent="0.2">
      <c r="B42" s="304"/>
      <c r="C42" s="217"/>
      <c r="D42" s="205"/>
      <c r="E42" s="217"/>
      <c r="F42" s="217"/>
      <c r="G42" s="217"/>
      <c r="H42" s="217"/>
      <c r="I42" s="178"/>
    </row>
    <row r="43" spans="2:9" ht="15.75" customHeight="1" x14ac:dyDescent="0.2">
      <c r="B43" s="304"/>
      <c r="C43" s="217" t="s">
        <v>403</v>
      </c>
      <c r="D43" s="205"/>
      <c r="E43" s="205">
        <f>D20-D63-E63-F63-G63-H63</f>
        <v>9183300</v>
      </c>
      <c r="F43" s="217"/>
      <c r="G43" s="217"/>
      <c r="H43" s="217"/>
      <c r="I43" s="178"/>
    </row>
    <row r="44" spans="2:9" ht="15.75" customHeight="1" x14ac:dyDescent="0.2">
      <c r="B44" s="304"/>
      <c r="C44" s="217"/>
      <c r="D44" s="205"/>
      <c r="E44" s="217"/>
      <c r="F44" s="217"/>
      <c r="G44" s="217"/>
      <c r="H44" s="217"/>
      <c r="I44" s="178"/>
    </row>
    <row r="45" spans="2:9" ht="15.75" customHeight="1" x14ac:dyDescent="0.2">
      <c r="B45" s="304"/>
      <c r="C45" s="180" t="s">
        <v>329</v>
      </c>
      <c r="D45" s="205"/>
      <c r="E45" s="217"/>
      <c r="F45" s="217"/>
      <c r="G45" s="217"/>
      <c r="H45" s="217"/>
      <c r="I45" s="178"/>
    </row>
    <row r="46" spans="2:9" ht="15.75" customHeight="1" x14ac:dyDescent="0.2">
      <c r="B46" s="304"/>
      <c r="C46" s="217" t="s">
        <v>330</v>
      </c>
      <c r="D46" s="205">
        <f>D23</f>
        <v>8200000</v>
      </c>
      <c r="E46" s="217"/>
      <c r="F46" s="217"/>
      <c r="G46" s="217"/>
      <c r="H46" s="217"/>
      <c r="I46" s="178"/>
    </row>
    <row r="47" spans="2:9" ht="15.75" customHeight="1" x14ac:dyDescent="0.2">
      <c r="B47" s="304"/>
      <c r="C47" s="217" t="s">
        <v>76</v>
      </c>
      <c r="D47" s="209">
        <f>(E43-D23)*D24</f>
        <v>216326</v>
      </c>
      <c r="E47" s="217"/>
      <c r="F47" s="217"/>
      <c r="G47" s="217"/>
      <c r="H47" s="217"/>
      <c r="I47" s="178"/>
    </row>
    <row r="48" spans="2:9" ht="15.75" customHeight="1" x14ac:dyDescent="0.2">
      <c r="B48" s="304"/>
      <c r="C48" s="217" t="s">
        <v>192</v>
      </c>
      <c r="D48" s="205">
        <f>D46+D47</f>
        <v>8416326</v>
      </c>
      <c r="E48" s="217"/>
      <c r="F48" s="217"/>
      <c r="G48" s="217"/>
      <c r="H48" s="217"/>
      <c r="I48" s="178"/>
    </row>
    <row r="49" spans="2:9" ht="15.75" customHeight="1" x14ac:dyDescent="0.2">
      <c r="B49" s="304"/>
      <c r="C49" s="217"/>
      <c r="D49" s="217"/>
      <c r="E49" s="217"/>
      <c r="F49" s="217"/>
      <c r="G49" s="217"/>
      <c r="H49" s="217"/>
      <c r="I49" s="178"/>
    </row>
    <row r="50" spans="2:9" ht="15.75" customHeight="1" x14ac:dyDescent="0.2">
      <c r="B50" s="304"/>
      <c r="C50" s="217" t="s">
        <v>10</v>
      </c>
      <c r="D50" s="305" t="s">
        <v>176</v>
      </c>
      <c r="E50" s="305" t="s">
        <v>177</v>
      </c>
      <c r="F50" s="305" t="s">
        <v>178</v>
      </c>
      <c r="G50" s="305" t="s">
        <v>179</v>
      </c>
      <c r="H50" s="305" t="s">
        <v>220</v>
      </c>
      <c r="I50" s="178"/>
    </row>
    <row r="51" spans="2:9" ht="15.75" customHeight="1" x14ac:dyDescent="0.2">
      <c r="B51" s="304"/>
      <c r="C51" s="217" t="s">
        <v>404</v>
      </c>
      <c r="D51" s="205">
        <f>D8*$D$7</f>
        <v>18450000</v>
      </c>
      <c r="E51" s="205">
        <f>D7*D9</f>
        <v>19372500</v>
      </c>
      <c r="F51" s="205">
        <f>D7*D10</f>
        <v>22755000</v>
      </c>
      <c r="G51" s="205">
        <f>D7*D11</f>
        <v>21832500</v>
      </c>
      <c r="H51" s="205">
        <f>D7*D12</f>
        <v>20295000</v>
      </c>
      <c r="I51" s="178"/>
    </row>
    <row r="52" spans="2:9" ht="15.75" customHeight="1" x14ac:dyDescent="0.2">
      <c r="B52" s="304"/>
      <c r="C52" s="217" t="s">
        <v>405</v>
      </c>
      <c r="D52" s="209">
        <f>-$D$16*$D$17</f>
        <v>-1380000</v>
      </c>
      <c r="E52" s="209">
        <f>D52</f>
        <v>-1380000</v>
      </c>
      <c r="F52" s="209">
        <f>E52</f>
        <v>-1380000</v>
      </c>
      <c r="G52" s="209">
        <f>F52</f>
        <v>-1380000</v>
      </c>
      <c r="H52" s="209">
        <f>G52</f>
        <v>-1380000</v>
      </c>
      <c r="I52" s="178"/>
    </row>
    <row r="53" spans="2:9" ht="15.75" customHeight="1" x14ac:dyDescent="0.2">
      <c r="B53" s="304"/>
      <c r="C53" s="217" t="s">
        <v>192</v>
      </c>
      <c r="D53" s="205">
        <f>SUM(D51:D52)</f>
        <v>17070000</v>
      </c>
      <c r="E53" s="205">
        <f>SUM(E51:E52)</f>
        <v>17992500</v>
      </c>
      <c r="F53" s="205">
        <f>SUM(F51:F52)</f>
        <v>21375000</v>
      </c>
      <c r="G53" s="205">
        <f>SUM(G51:G52)</f>
        <v>20452500</v>
      </c>
      <c r="H53" s="205">
        <f>SUM(H51:H52)</f>
        <v>18915000</v>
      </c>
      <c r="I53" s="178"/>
    </row>
    <row r="54" spans="2:9" ht="15.75" customHeight="1" x14ac:dyDescent="0.2">
      <c r="B54" s="304"/>
      <c r="C54" s="217"/>
      <c r="D54" s="217"/>
      <c r="E54" s="217"/>
      <c r="F54" s="217"/>
      <c r="G54" s="217"/>
      <c r="H54" s="217"/>
      <c r="I54" s="178"/>
    </row>
    <row r="55" spans="2:9" ht="15.75" customHeight="1" x14ac:dyDescent="0.2">
      <c r="B55" s="304"/>
      <c r="C55" s="217" t="s">
        <v>77</v>
      </c>
      <c r="D55" s="217"/>
      <c r="E55" s="217"/>
      <c r="F55" s="217"/>
      <c r="G55" s="217"/>
      <c r="H55" s="217"/>
      <c r="I55" s="178"/>
    </row>
    <row r="56" spans="2:9" ht="15.75" customHeight="1" x14ac:dyDescent="0.2">
      <c r="B56" s="304"/>
      <c r="C56" s="217" t="s">
        <v>404</v>
      </c>
      <c r="D56" s="205">
        <f>D51*$D$13</f>
        <v>8487000</v>
      </c>
      <c r="E56" s="205">
        <f>E51*$D$13</f>
        <v>8911350</v>
      </c>
      <c r="F56" s="205">
        <f>F51*$D$13</f>
        <v>10467300</v>
      </c>
      <c r="G56" s="205">
        <f>G51*$D$13</f>
        <v>10042950</v>
      </c>
      <c r="H56" s="205">
        <f>H51*$D$13</f>
        <v>9335700</v>
      </c>
      <c r="I56" s="178"/>
    </row>
    <row r="57" spans="2:9" ht="15.75" customHeight="1" x14ac:dyDescent="0.2">
      <c r="B57" s="304"/>
      <c r="C57" s="217" t="s">
        <v>405</v>
      </c>
      <c r="D57" s="209">
        <f>D52*$D$18</f>
        <v>-565800</v>
      </c>
      <c r="E57" s="209">
        <f>E52*$D$18</f>
        <v>-565800</v>
      </c>
      <c r="F57" s="209">
        <f>F52*$D$18</f>
        <v>-565800</v>
      </c>
      <c r="G57" s="209">
        <f>G52*$D$18</f>
        <v>-565800</v>
      </c>
      <c r="H57" s="209">
        <f>H52*$D$18</f>
        <v>-565800</v>
      </c>
      <c r="I57" s="178"/>
    </row>
    <row r="58" spans="2:9" ht="15.75" customHeight="1" x14ac:dyDescent="0.2">
      <c r="B58" s="304"/>
      <c r="C58" s="217" t="s">
        <v>192</v>
      </c>
      <c r="D58" s="205">
        <f>SUM(D56:D57)</f>
        <v>7921200</v>
      </c>
      <c r="E58" s="205">
        <f>SUM(E56:E57)</f>
        <v>8345550</v>
      </c>
      <c r="F58" s="205">
        <f>SUM(F56:F57)</f>
        <v>9901500</v>
      </c>
      <c r="G58" s="205">
        <f>SUM(G56:G57)</f>
        <v>9477150</v>
      </c>
      <c r="H58" s="205">
        <f>SUM(H56:H57)</f>
        <v>8769900</v>
      </c>
      <c r="I58" s="178"/>
    </row>
    <row r="59" spans="2:9" ht="15.75" customHeight="1" x14ac:dyDescent="0.2">
      <c r="B59" s="304"/>
      <c r="C59" s="217"/>
      <c r="D59" s="213"/>
      <c r="E59" s="213"/>
      <c r="F59" s="213"/>
      <c r="G59" s="213"/>
      <c r="H59" s="213"/>
      <c r="I59" s="178"/>
    </row>
    <row r="60" spans="2:9" ht="15.75" customHeight="1" x14ac:dyDescent="0.2">
      <c r="B60" s="304"/>
      <c r="C60" s="217" t="s">
        <v>10</v>
      </c>
      <c r="D60" s="205">
        <f>D53</f>
        <v>17070000</v>
      </c>
      <c r="E60" s="205">
        <f>E53</f>
        <v>17992500</v>
      </c>
      <c r="F60" s="205">
        <f>F53</f>
        <v>21375000</v>
      </c>
      <c r="G60" s="205">
        <f>G53</f>
        <v>20452500</v>
      </c>
      <c r="H60" s="205">
        <f>H53</f>
        <v>18915000</v>
      </c>
      <c r="I60" s="178"/>
    </row>
    <row r="61" spans="2:9" ht="15.75" customHeight="1" x14ac:dyDescent="0.2">
      <c r="B61" s="304"/>
      <c r="C61" s="217" t="s">
        <v>316</v>
      </c>
      <c r="D61" s="208">
        <f>D58</f>
        <v>7921200</v>
      </c>
      <c r="E61" s="208">
        <f>E58</f>
        <v>8345550</v>
      </c>
      <c r="F61" s="208">
        <f>F58</f>
        <v>9901500</v>
      </c>
      <c r="G61" s="208">
        <f>G58</f>
        <v>9477150</v>
      </c>
      <c r="H61" s="208">
        <f>H58</f>
        <v>8769900</v>
      </c>
      <c r="I61" s="178"/>
    </row>
    <row r="62" spans="2:9" ht="15.75" customHeight="1" x14ac:dyDescent="0.2">
      <c r="B62" s="304"/>
      <c r="C62" s="217" t="s">
        <v>78</v>
      </c>
      <c r="D62" s="208">
        <f>D14</f>
        <v>1930000</v>
      </c>
      <c r="E62" s="208">
        <f>D62</f>
        <v>1930000</v>
      </c>
      <c r="F62" s="208">
        <f>E62</f>
        <v>1930000</v>
      </c>
      <c r="G62" s="208">
        <f>F62</f>
        <v>1930000</v>
      </c>
      <c r="H62" s="208">
        <f>G62</f>
        <v>1930000</v>
      </c>
      <c r="I62" s="178"/>
    </row>
    <row r="63" spans="2:9" ht="15.75" customHeight="1" x14ac:dyDescent="0.2">
      <c r="B63" s="304"/>
      <c r="C63" s="217" t="s">
        <v>317</v>
      </c>
      <c r="D63" s="209">
        <v>0</v>
      </c>
      <c r="E63" s="209">
        <v>0</v>
      </c>
      <c r="F63" s="209">
        <f>$D$20*D26</f>
        <v>3000900</v>
      </c>
      <c r="G63" s="209">
        <f>$D$20*D27</f>
        <v>5142900</v>
      </c>
      <c r="H63" s="209">
        <f>$D$20*D28</f>
        <v>3672900</v>
      </c>
      <c r="I63" s="178"/>
    </row>
    <row r="64" spans="2:9" ht="15.75" customHeight="1" x14ac:dyDescent="0.2">
      <c r="B64" s="304"/>
      <c r="C64" s="217" t="s">
        <v>8</v>
      </c>
      <c r="D64" s="205">
        <f>D60-D61-D62-D63</f>
        <v>7218800</v>
      </c>
      <c r="E64" s="205">
        <f>E60-E61-E62-E63</f>
        <v>7716950</v>
      </c>
      <c r="F64" s="205">
        <f>F60-F61-F62-F63</f>
        <v>6542600</v>
      </c>
      <c r="G64" s="205">
        <f>G60-G61-G62-G63</f>
        <v>3902450</v>
      </c>
      <c r="H64" s="205">
        <f>H60-H61-H62-H63</f>
        <v>4542200</v>
      </c>
      <c r="I64" s="178"/>
    </row>
    <row r="65" spans="2:11" ht="15.75" customHeight="1" x14ac:dyDescent="0.2">
      <c r="B65" s="304"/>
      <c r="C65" s="217" t="s">
        <v>150</v>
      </c>
      <c r="D65" s="209">
        <f>$D$24*D64</f>
        <v>1588136</v>
      </c>
      <c r="E65" s="209">
        <f>$D$24*E64</f>
        <v>1697729</v>
      </c>
      <c r="F65" s="209">
        <f>$D$24*F64</f>
        <v>1439372</v>
      </c>
      <c r="G65" s="209">
        <f>$D$24*G64</f>
        <v>858539</v>
      </c>
      <c r="H65" s="209">
        <f>$D$24*H64</f>
        <v>999284</v>
      </c>
      <c r="I65" s="178"/>
    </row>
    <row r="66" spans="2:11" ht="15.75" customHeight="1" x14ac:dyDescent="0.2">
      <c r="B66" s="304"/>
      <c r="C66" s="217" t="s">
        <v>318</v>
      </c>
      <c r="D66" s="205">
        <f>D64-D65</f>
        <v>5630664</v>
      </c>
      <c r="E66" s="205">
        <f>E64-E65</f>
        <v>6019221</v>
      </c>
      <c r="F66" s="205">
        <f>F64-F65</f>
        <v>5103228</v>
      </c>
      <c r="G66" s="205">
        <f>G64-G65</f>
        <v>3043911</v>
      </c>
      <c r="H66" s="205">
        <f>H64-H65</f>
        <v>3542916</v>
      </c>
      <c r="I66" s="178"/>
    </row>
    <row r="67" spans="2:11" ht="15.75" customHeight="1" x14ac:dyDescent="0.2">
      <c r="B67" s="304"/>
      <c r="C67" s="306" t="s">
        <v>319</v>
      </c>
      <c r="D67" s="209">
        <f>-D63</f>
        <v>0</v>
      </c>
      <c r="E67" s="209">
        <f>-E63</f>
        <v>0</v>
      </c>
      <c r="F67" s="209">
        <f>F63</f>
        <v>3000900</v>
      </c>
      <c r="G67" s="209">
        <f>G63</f>
        <v>5142900</v>
      </c>
      <c r="H67" s="209">
        <f>H63</f>
        <v>3672900</v>
      </c>
      <c r="I67" s="178"/>
    </row>
    <row r="68" spans="2:11" ht="15.75" customHeight="1" x14ac:dyDescent="0.2">
      <c r="B68" s="304"/>
      <c r="C68" s="217" t="s">
        <v>11</v>
      </c>
      <c r="D68" s="205">
        <f>SUM(D66:D67)</f>
        <v>5630664</v>
      </c>
      <c r="E68" s="205">
        <f>SUM(E66:E67)</f>
        <v>6019221</v>
      </c>
      <c r="F68" s="205">
        <f>SUM(F66:F67)</f>
        <v>8104128</v>
      </c>
      <c r="G68" s="205">
        <f>SUM(G66:G67)</f>
        <v>8186811</v>
      </c>
      <c r="H68" s="205">
        <f>SUM(H66:H67)</f>
        <v>7215816</v>
      </c>
      <c r="I68" s="178"/>
    </row>
    <row r="69" spans="2:11" ht="15.75" customHeight="1" x14ac:dyDescent="0.2">
      <c r="B69" s="304"/>
      <c r="C69" s="217"/>
      <c r="D69" s="213"/>
      <c r="E69" s="213"/>
      <c r="F69" s="213"/>
      <c r="G69" s="213"/>
      <c r="H69" s="213"/>
      <c r="I69" s="178"/>
    </row>
    <row r="70" spans="2:11" ht="15.75" customHeight="1" x14ac:dyDescent="0.2">
      <c r="B70" s="304"/>
      <c r="C70" s="217" t="s">
        <v>184</v>
      </c>
      <c r="D70" s="213"/>
      <c r="E70" s="213"/>
      <c r="F70" s="213"/>
      <c r="G70" s="213"/>
      <c r="H70" s="213"/>
      <c r="I70" s="178"/>
    </row>
    <row r="71" spans="2:11" ht="15.75" customHeight="1" x14ac:dyDescent="0.2">
      <c r="B71" s="304"/>
      <c r="C71" s="217" t="s">
        <v>320</v>
      </c>
      <c r="D71" s="205">
        <f>-D37</f>
        <v>2445000.0000000005</v>
      </c>
      <c r="E71" s="205">
        <f>D72</f>
        <v>2712150.0000000005</v>
      </c>
      <c r="F71" s="205">
        <f>E72</f>
        <v>3185700.0000000005</v>
      </c>
      <c r="G71" s="205">
        <f>F72</f>
        <v>3056550.0000000005</v>
      </c>
      <c r="H71" s="205">
        <f>G72</f>
        <v>2841300.0000000005</v>
      </c>
      <c r="I71" s="178"/>
    </row>
    <row r="72" spans="2:11" ht="15.75" customHeight="1" x14ac:dyDescent="0.2">
      <c r="B72" s="304"/>
      <c r="C72" s="217" t="s">
        <v>321</v>
      </c>
      <c r="D72" s="208">
        <f>E51*$D$15</f>
        <v>2712150.0000000005</v>
      </c>
      <c r="E72" s="208">
        <f t="shared" ref="E72:G72" si="0">F51*$D$15</f>
        <v>3185700.0000000005</v>
      </c>
      <c r="F72" s="208">
        <f t="shared" si="0"/>
        <v>3056550.0000000005</v>
      </c>
      <c r="G72" s="208">
        <f t="shared" si="0"/>
        <v>2841300.0000000005</v>
      </c>
      <c r="H72" s="208">
        <v>0</v>
      </c>
      <c r="I72" s="178"/>
    </row>
    <row r="73" spans="2:11" ht="15.75" customHeight="1" x14ac:dyDescent="0.2">
      <c r="B73" s="304"/>
      <c r="C73" s="217" t="s">
        <v>405</v>
      </c>
      <c r="D73" s="209"/>
      <c r="E73" s="209"/>
      <c r="F73" s="209"/>
      <c r="G73" s="209"/>
      <c r="H73" s="209">
        <f>-D36</f>
        <v>-138000</v>
      </c>
      <c r="I73" s="178"/>
    </row>
    <row r="74" spans="2:11" ht="15.75" customHeight="1" x14ac:dyDescent="0.2">
      <c r="B74" s="304"/>
      <c r="C74" s="217" t="s">
        <v>322</v>
      </c>
      <c r="D74" s="205">
        <f>D71-D72</f>
        <v>-267150</v>
      </c>
      <c r="E74" s="205">
        <f>E71-E72</f>
        <v>-473550</v>
      </c>
      <c r="F74" s="205">
        <f>F71-F72</f>
        <v>129150</v>
      </c>
      <c r="G74" s="205">
        <f>G71-G72</f>
        <v>215250</v>
      </c>
      <c r="H74" s="205">
        <f>H71-H72+H73</f>
        <v>2703300.0000000005</v>
      </c>
      <c r="I74" s="178"/>
      <c r="K74" s="391"/>
    </row>
    <row r="75" spans="2:11" ht="15.75" customHeight="1" x14ac:dyDescent="0.2">
      <c r="B75" s="304"/>
      <c r="C75" s="217"/>
      <c r="D75" s="205"/>
      <c r="E75" s="205"/>
      <c r="F75" s="205"/>
      <c r="G75" s="205"/>
      <c r="H75" s="205"/>
      <c r="I75" s="178"/>
    </row>
    <row r="76" spans="2:11" ht="15.75" customHeight="1" x14ac:dyDescent="0.2">
      <c r="B76" s="304"/>
      <c r="C76" s="217" t="s">
        <v>114</v>
      </c>
      <c r="D76" s="205"/>
      <c r="E76" s="205">
        <f>D41</f>
        <v>-21000000</v>
      </c>
      <c r="F76" s="205"/>
      <c r="G76" s="205"/>
      <c r="H76" s="205">
        <f>D48</f>
        <v>8416326</v>
      </c>
      <c r="I76" s="178"/>
    </row>
    <row r="77" spans="2:11" ht="15.75" customHeight="1" x14ac:dyDescent="0.2">
      <c r="B77" s="304"/>
      <c r="C77" s="217"/>
      <c r="D77" s="213"/>
      <c r="E77" s="213"/>
      <c r="F77" s="213"/>
      <c r="G77" s="213"/>
      <c r="H77" s="213"/>
      <c r="I77" s="178"/>
    </row>
    <row r="78" spans="2:11" ht="15.75" customHeight="1" x14ac:dyDescent="0.2">
      <c r="B78" s="304"/>
      <c r="C78" s="217" t="s">
        <v>323</v>
      </c>
      <c r="D78" s="205">
        <f>D68+D74+D76</f>
        <v>5363514</v>
      </c>
      <c r="E78" s="205">
        <f>E68+E74+E76</f>
        <v>-15454329</v>
      </c>
      <c r="F78" s="205">
        <f>F68+F74+F76</f>
        <v>8233278</v>
      </c>
      <c r="G78" s="205">
        <f>G68+G74+G76</f>
        <v>8402061</v>
      </c>
      <c r="H78" s="205">
        <f>H68+H74+H76</f>
        <v>18335442</v>
      </c>
      <c r="I78" s="178"/>
    </row>
    <row r="79" spans="2:11" ht="15.75" customHeight="1" x14ac:dyDescent="0.2">
      <c r="B79" s="304"/>
      <c r="C79" s="217"/>
      <c r="D79" s="217"/>
      <c r="E79" s="217"/>
      <c r="F79" s="217"/>
      <c r="G79" s="217"/>
      <c r="H79" s="217"/>
      <c r="I79" s="178"/>
    </row>
    <row r="80" spans="2:11" ht="15.75" customHeight="1" x14ac:dyDescent="0.25">
      <c r="B80" s="304"/>
      <c r="C80" s="217" t="s">
        <v>20</v>
      </c>
      <c r="D80" s="129">
        <f>NPV(D25,D78:H78)+D37</f>
        <v>9338473.7909295131</v>
      </c>
      <c r="E80" s="217"/>
      <c r="F80" s="217"/>
      <c r="G80" s="217"/>
      <c r="H80" s="217"/>
      <c r="I80" s="178"/>
    </row>
    <row r="81" spans="2:9" ht="15.75" customHeight="1" thickBot="1" x14ac:dyDescent="0.25">
      <c r="B81" s="307"/>
      <c r="C81" s="308"/>
      <c r="D81" s="308"/>
      <c r="E81" s="308"/>
      <c r="F81" s="308"/>
      <c r="G81" s="308"/>
      <c r="H81" s="308"/>
      <c r="I81" s="198"/>
    </row>
    <row r="82" spans="2:9" ht="15.75" customHeight="1" x14ac:dyDescent="0.2"/>
    <row r="83" spans="2:9" ht="15.75" customHeight="1" x14ac:dyDescent="0.2"/>
    <row r="84" spans="2:9" ht="15.75" customHeight="1" x14ac:dyDescent="0.2"/>
    <row r="85" spans="2:9" ht="15.75" customHeight="1" x14ac:dyDescent="0.2"/>
  </sheetData>
  <phoneticPr fontId="29" type="noConversion"/>
  <pageMargins left="0.75" right="0.75" top="1" bottom="1" header="0.5" footer="0.5"/>
  <pageSetup scale="73" orientation="portrait" r:id="rId1"/>
  <headerFooter alignWithMargins="0"/>
  <rowBreaks count="1" manualBreakCount="1">
    <brk id="5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bestFit="1" customWidth="1"/>
    <col min="4" max="4" width="18.140625" customWidth="1"/>
    <col min="5" max="5" width="3.140625" customWidth="1"/>
    <col min="6" max="8" width="9.140625" customWidth="1"/>
  </cols>
  <sheetData>
    <row r="1" spans="2:7" ht="17.25" customHeight="1" x14ac:dyDescent="0.25">
      <c r="C1" s="1" t="s">
        <v>412</v>
      </c>
    </row>
    <row r="2" spans="2:7" ht="15.75" customHeight="1" x14ac:dyDescent="0.2">
      <c r="C2" s="3" t="s">
        <v>9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4"/>
    </row>
    <row r="6" spans="2:7" ht="15.75" customHeight="1" x14ac:dyDescent="0.2">
      <c r="B6" s="5"/>
      <c r="C6" s="6"/>
      <c r="D6" s="6"/>
      <c r="E6" s="7"/>
      <c r="F6" s="14"/>
      <c r="G6" s="14"/>
    </row>
    <row r="7" spans="2:7" ht="15.75" customHeight="1" x14ac:dyDescent="0.2">
      <c r="B7" s="8"/>
      <c r="C7" s="13" t="s">
        <v>16</v>
      </c>
      <c r="D7" s="126">
        <f>'#3'!D7</f>
        <v>1420000</v>
      </c>
      <c r="E7" s="9"/>
      <c r="F7" s="14"/>
      <c r="G7" s="14"/>
    </row>
    <row r="8" spans="2:7" ht="15.75" customHeight="1" x14ac:dyDescent="0.2">
      <c r="B8" s="8"/>
      <c r="C8" s="13" t="s">
        <v>17</v>
      </c>
      <c r="D8" s="126">
        <f>'#3'!D8</f>
        <v>1090000</v>
      </c>
      <c r="E8" s="9"/>
      <c r="F8" s="14"/>
      <c r="G8" s="14"/>
    </row>
    <row r="9" spans="2:7" ht="15.75" customHeight="1" x14ac:dyDescent="0.2">
      <c r="B9" s="8"/>
      <c r="C9" s="13" t="s">
        <v>14</v>
      </c>
      <c r="D9" s="126">
        <f>'#3'!D9</f>
        <v>475000</v>
      </c>
      <c r="E9" s="9"/>
      <c r="F9" s="14"/>
      <c r="G9" s="14"/>
    </row>
    <row r="10" spans="2:7" ht="15.75" customHeight="1" x14ac:dyDescent="0.2">
      <c r="B10" s="8"/>
      <c r="C10" s="13" t="s">
        <v>6</v>
      </c>
      <c r="D10" s="127">
        <f>'#3'!D10</f>
        <v>0.25</v>
      </c>
      <c r="E10" s="9"/>
      <c r="F10" s="45"/>
    </row>
    <row r="11" spans="2:7" ht="15.75" customHeight="1" x14ac:dyDescent="0.2">
      <c r="B11" s="8"/>
      <c r="C11" s="13" t="s">
        <v>19</v>
      </c>
      <c r="D11" s="130">
        <f>'#3'!D13</f>
        <v>0.12</v>
      </c>
      <c r="E11" s="40"/>
      <c r="F11" s="46"/>
    </row>
    <row r="12" spans="2:7" ht="15.75" customHeight="1" x14ac:dyDescent="0.2">
      <c r="B12" s="8"/>
      <c r="C12" s="13" t="s">
        <v>33</v>
      </c>
      <c r="D12" s="131"/>
      <c r="E12" s="40"/>
      <c r="F12" s="46"/>
    </row>
    <row r="13" spans="2:7" ht="15.75" customHeight="1" x14ac:dyDescent="0.2">
      <c r="B13" s="8"/>
      <c r="C13" s="13" t="s">
        <v>18</v>
      </c>
      <c r="D13" s="128">
        <f>'#3'!D12</f>
        <v>3</v>
      </c>
      <c r="E13" s="40"/>
      <c r="F13" s="46"/>
    </row>
    <row r="14" spans="2:7" ht="15.75" customHeight="1" x14ac:dyDescent="0.2">
      <c r="B14" s="8"/>
      <c r="C14" s="13" t="s">
        <v>11</v>
      </c>
      <c r="D14" s="126">
        <f>'#3'!D19</f>
        <v>579583.33333333337</v>
      </c>
      <c r="E14" s="40"/>
      <c r="F14" s="46"/>
    </row>
    <row r="15" spans="2:7" ht="15.75" customHeight="1" x14ac:dyDescent="0.2">
      <c r="B15" s="8"/>
      <c r="C15" s="13" t="s">
        <v>21</v>
      </c>
      <c r="D15" s="83">
        <v>250000</v>
      </c>
      <c r="E15" s="40"/>
      <c r="F15" s="46"/>
    </row>
    <row r="16" spans="2:7" ht="15.75" customHeight="1" x14ac:dyDescent="0.2">
      <c r="B16" s="8"/>
      <c r="C16" s="13" t="s">
        <v>22</v>
      </c>
      <c r="D16" s="83">
        <v>230000</v>
      </c>
      <c r="E16" s="40"/>
      <c r="F16" s="46"/>
    </row>
    <row r="17" spans="2:8" ht="15.75" customHeight="1" thickBot="1" x14ac:dyDescent="0.25">
      <c r="B17" s="10"/>
      <c r="C17" s="11"/>
      <c r="D17" s="11"/>
      <c r="E17" s="12"/>
      <c r="F17" s="47"/>
      <c r="G17" s="14"/>
    </row>
    <row r="18" spans="2:8" ht="15.75" customHeight="1" x14ac:dyDescent="0.2"/>
    <row r="19" spans="2:8" ht="15.75" customHeight="1" x14ac:dyDescent="0.2">
      <c r="C19" s="2" t="s">
        <v>2</v>
      </c>
    </row>
    <row r="20" spans="2:8" ht="15.75" customHeight="1" thickBot="1" x14ac:dyDescent="0.25"/>
    <row r="21" spans="2:8" ht="15.75" customHeight="1" x14ac:dyDescent="0.2">
      <c r="B21" s="15"/>
      <c r="C21" s="16"/>
      <c r="D21" s="16"/>
      <c r="E21" s="17"/>
      <c r="F21" s="30"/>
      <c r="G21" s="30"/>
      <c r="H21" s="30"/>
    </row>
    <row r="22" spans="2:8" ht="15.75" customHeight="1" x14ac:dyDescent="0.2">
      <c r="B22" s="18"/>
      <c r="C22" s="155" t="s">
        <v>23</v>
      </c>
      <c r="D22" s="88" t="s">
        <v>24</v>
      </c>
      <c r="E22" s="21"/>
      <c r="F22" s="31"/>
      <c r="G22" s="31"/>
      <c r="H22" s="30"/>
    </row>
    <row r="23" spans="2:8" ht="15.75" customHeight="1" x14ac:dyDescent="0.25">
      <c r="B23" s="18"/>
      <c r="C23" s="75">
        <v>0</v>
      </c>
      <c r="D23" s="170">
        <f>(-D7-D15)</f>
        <v>-1670000</v>
      </c>
      <c r="E23" s="21"/>
      <c r="F23" s="31"/>
      <c r="G23" s="31"/>
      <c r="H23" s="30"/>
    </row>
    <row r="24" spans="2:8" ht="15.75" customHeight="1" x14ac:dyDescent="0.25">
      <c r="B24" s="18"/>
      <c r="C24" s="233">
        <v>1</v>
      </c>
      <c r="D24" s="170">
        <f>D14</f>
        <v>579583.33333333337</v>
      </c>
      <c r="E24" s="21"/>
      <c r="F24" s="31"/>
      <c r="G24" s="31"/>
      <c r="H24" s="30"/>
    </row>
    <row r="25" spans="2:8" ht="15.75" customHeight="1" x14ac:dyDescent="0.25">
      <c r="B25" s="18"/>
      <c r="C25" s="233">
        <v>2</v>
      </c>
      <c r="D25" s="170">
        <f>D14</f>
        <v>579583.33333333337</v>
      </c>
      <c r="E25" s="21"/>
      <c r="F25" s="31"/>
      <c r="G25" s="31"/>
      <c r="H25" s="30"/>
    </row>
    <row r="26" spans="2:8" ht="15.75" customHeight="1" x14ac:dyDescent="0.25">
      <c r="B26" s="18"/>
      <c r="C26" s="233">
        <v>3</v>
      </c>
      <c r="D26" s="170">
        <f>D14+D15+(D16*(1-D10))</f>
        <v>1002083.3333333334</v>
      </c>
      <c r="E26" s="21"/>
      <c r="F26" s="31"/>
      <c r="G26" s="31"/>
      <c r="H26" s="30"/>
    </row>
    <row r="27" spans="2:8" ht="15.75" customHeight="1" x14ac:dyDescent="0.2">
      <c r="B27" s="18"/>
      <c r="C27" s="52"/>
      <c r="D27" s="33"/>
      <c r="E27" s="21"/>
      <c r="F27" s="31"/>
      <c r="G27" s="31"/>
      <c r="H27" s="30"/>
    </row>
    <row r="28" spans="2:8" ht="15.75" customHeight="1" x14ac:dyDescent="0.25">
      <c r="B28" s="18"/>
      <c r="C28" s="52" t="s">
        <v>20</v>
      </c>
      <c r="D28" s="129">
        <f>NPV(D11,D24:D26)+D23</f>
        <v>22788.527241253527</v>
      </c>
      <c r="E28" s="21"/>
      <c r="F28" s="31"/>
      <c r="G28" s="31"/>
      <c r="H28" s="30"/>
    </row>
    <row r="29" spans="2:8" ht="15.75" customHeight="1" thickBot="1" x14ac:dyDescent="0.25">
      <c r="B29" s="23"/>
      <c r="C29" s="39"/>
      <c r="D29" s="50"/>
      <c r="E29" s="51"/>
      <c r="F29" s="35"/>
      <c r="G29" s="35"/>
      <c r="H29" s="31"/>
    </row>
    <row r="30" spans="2:8" ht="15.75" customHeight="1" x14ac:dyDescent="0.2">
      <c r="B30" s="30"/>
      <c r="C30" s="35"/>
      <c r="D30" s="48"/>
      <c r="E30" s="30"/>
      <c r="F30" s="35"/>
      <c r="G30" s="35"/>
      <c r="H30" s="30"/>
    </row>
    <row r="31" spans="2:8" ht="15.75" customHeight="1" x14ac:dyDescent="0.2">
      <c r="B31" s="30"/>
      <c r="C31" s="35"/>
      <c r="D31" s="49"/>
      <c r="E31" s="30"/>
      <c r="F31" s="35"/>
      <c r="G31" s="35"/>
      <c r="H31" s="30"/>
    </row>
    <row r="32" spans="2:8" ht="15.75" customHeight="1" x14ac:dyDescent="0.2">
      <c r="B32" s="30"/>
      <c r="C32" s="36"/>
      <c r="D32" s="37"/>
      <c r="E32" s="38"/>
      <c r="F32" s="35"/>
      <c r="G32" s="35"/>
      <c r="H32" s="30"/>
    </row>
    <row r="33" spans="2:8" ht="15.75" customHeight="1" x14ac:dyDescent="0.2">
      <c r="B33" s="30"/>
      <c r="C33" s="36"/>
      <c r="D33" s="37"/>
      <c r="E33" s="38"/>
      <c r="F33" s="35"/>
      <c r="G33" s="35"/>
      <c r="H33" s="30"/>
    </row>
    <row r="34" spans="2:8" ht="15.75" customHeight="1" x14ac:dyDescent="0.2">
      <c r="B34" s="30"/>
      <c r="C34" s="36"/>
      <c r="D34" s="37"/>
      <c r="E34" s="38"/>
      <c r="F34" s="35"/>
      <c r="G34" s="35"/>
      <c r="H34" s="30"/>
    </row>
    <row r="35" spans="2:8" ht="15.75" customHeight="1" x14ac:dyDescent="0.2">
      <c r="B35" s="30"/>
      <c r="C35" s="36"/>
      <c r="D35" s="37"/>
      <c r="E35" s="38"/>
      <c r="F35" s="35"/>
      <c r="G35" s="35"/>
      <c r="H35" s="30"/>
    </row>
    <row r="36" spans="2:8" ht="15.75" customHeight="1" x14ac:dyDescent="0.2">
      <c r="B36" s="30"/>
      <c r="C36" s="30"/>
      <c r="D36" s="30"/>
      <c r="E36" s="30"/>
      <c r="F36" s="30"/>
      <c r="G36" s="30"/>
      <c r="H36" s="30"/>
    </row>
    <row r="37" spans="2:8" ht="15.75" customHeight="1" x14ac:dyDescent="0.2">
      <c r="B37" s="14"/>
      <c r="C37" s="14"/>
      <c r="D37" s="14"/>
      <c r="E37" s="14"/>
      <c r="F37" s="14"/>
      <c r="G37" s="14"/>
      <c r="H37" s="14"/>
    </row>
    <row r="38" spans="2:8" ht="15.75" customHeight="1" x14ac:dyDescent="0.2"/>
    <row r="39" spans="2:8" ht="15.75" customHeight="1" x14ac:dyDescent="0.2">
      <c r="D39" s="26"/>
    </row>
    <row r="40" spans="2:8" ht="15.75" customHeight="1" x14ac:dyDescent="0.2"/>
    <row r="41" spans="2: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6" width="18.28515625" bestFit="1" customWidth="1"/>
    <col min="7" max="7" width="3.140625" customWidth="1"/>
    <col min="8" max="8" width="9.140625" customWidth="1"/>
  </cols>
  <sheetData>
    <row r="1" spans="2:8" ht="17.25" customHeight="1" x14ac:dyDescent="0.25">
      <c r="C1" s="1" t="s">
        <v>412</v>
      </c>
    </row>
    <row r="2" spans="2:8" ht="15.75" customHeight="1" x14ac:dyDescent="0.2">
      <c r="C2" s="3" t="s">
        <v>13</v>
      </c>
    </row>
    <row r="3" spans="2:8" ht="15.75" customHeight="1" x14ac:dyDescent="0.2"/>
    <row r="4" spans="2:8" ht="15.75" customHeight="1" x14ac:dyDescent="0.2">
      <c r="C4" s="2" t="s">
        <v>1</v>
      </c>
    </row>
    <row r="5" spans="2:8" ht="15.75" customHeight="1" thickBot="1" x14ac:dyDescent="0.25">
      <c r="G5" s="44"/>
    </row>
    <row r="6" spans="2:8" ht="15.75" customHeight="1" x14ac:dyDescent="0.2">
      <c r="B6" s="5"/>
      <c r="C6" s="6"/>
      <c r="D6" s="6"/>
      <c r="E6" s="7"/>
      <c r="F6" s="14"/>
      <c r="G6" s="14"/>
    </row>
    <row r="7" spans="2:8" ht="15.75" customHeight="1" x14ac:dyDescent="0.2">
      <c r="B7" s="8"/>
      <c r="C7" s="13" t="s">
        <v>16</v>
      </c>
      <c r="D7" s="126">
        <f>'#4'!D7</f>
        <v>1420000</v>
      </c>
      <c r="E7" s="9"/>
      <c r="F7" s="14"/>
      <c r="G7" s="14"/>
    </row>
    <row r="8" spans="2:8" ht="15.75" customHeight="1" x14ac:dyDescent="0.2">
      <c r="B8" s="8"/>
      <c r="C8" s="13" t="s">
        <v>17</v>
      </c>
      <c r="D8" s="126">
        <f>'#4'!D8</f>
        <v>1090000</v>
      </c>
      <c r="E8" s="9"/>
      <c r="F8" s="14"/>
      <c r="G8" s="14"/>
      <c r="H8" s="391"/>
    </row>
    <row r="9" spans="2:8" ht="15.75" customHeight="1" x14ac:dyDescent="0.2">
      <c r="B9" s="8"/>
      <c r="C9" s="13" t="s">
        <v>14</v>
      </c>
      <c r="D9" s="126">
        <f>'#4'!D9</f>
        <v>475000</v>
      </c>
      <c r="E9" s="9"/>
      <c r="F9" s="14"/>
      <c r="G9" s="14"/>
    </row>
    <row r="10" spans="2:8" ht="15.75" customHeight="1" x14ac:dyDescent="0.2">
      <c r="B10" s="8"/>
      <c r="C10" s="13" t="s">
        <v>6</v>
      </c>
      <c r="D10" s="127">
        <f>'#4'!D10</f>
        <v>0.25</v>
      </c>
      <c r="E10" s="9"/>
      <c r="F10" s="45"/>
    </row>
    <row r="11" spans="2:8" ht="15.75" customHeight="1" x14ac:dyDescent="0.2">
      <c r="B11" s="8"/>
      <c r="C11" s="13" t="s">
        <v>19</v>
      </c>
      <c r="D11" s="130">
        <f>'#4'!D11</f>
        <v>0.12</v>
      </c>
      <c r="E11" s="40"/>
      <c r="F11" s="46"/>
    </row>
    <row r="12" spans="2:8" ht="15.75" customHeight="1" x14ac:dyDescent="0.2">
      <c r="B12" s="8"/>
      <c r="C12" s="13" t="s">
        <v>21</v>
      </c>
      <c r="D12" s="126">
        <f>'#4'!D15</f>
        <v>250000</v>
      </c>
      <c r="E12" s="40"/>
      <c r="F12" s="46"/>
    </row>
    <row r="13" spans="2:8" ht="15.75" customHeight="1" x14ac:dyDescent="0.2">
      <c r="B13" s="8"/>
      <c r="C13" s="13" t="s">
        <v>22</v>
      </c>
      <c r="D13" s="126">
        <f>'#4'!D16</f>
        <v>230000</v>
      </c>
      <c r="E13" s="40"/>
      <c r="F13" s="46"/>
      <c r="H13" s="391"/>
    </row>
    <row r="14" spans="2:8" ht="15.75" customHeight="1" x14ac:dyDescent="0.2">
      <c r="B14" s="8"/>
      <c r="C14" s="13" t="s">
        <v>431</v>
      </c>
      <c r="D14" s="92">
        <v>0.33329999999999999</v>
      </c>
      <c r="E14" s="41"/>
      <c r="F14" s="46"/>
      <c r="G14" s="46"/>
    </row>
    <row r="15" spans="2:8" ht="15.75" customHeight="1" x14ac:dyDescent="0.2">
      <c r="B15" s="8"/>
      <c r="C15" s="13"/>
      <c r="D15" s="92">
        <v>0.44450000000000001</v>
      </c>
      <c r="E15" s="41"/>
      <c r="F15" s="46"/>
      <c r="G15" s="46"/>
    </row>
    <row r="16" spans="2:8" ht="15.75" customHeight="1" x14ac:dyDescent="0.2">
      <c r="B16" s="8"/>
      <c r="C16" s="13"/>
      <c r="D16" s="92">
        <v>0.14810000000000001</v>
      </c>
      <c r="E16" s="41"/>
      <c r="F16" s="46"/>
      <c r="G16" s="46"/>
    </row>
    <row r="17" spans="2:8" ht="15.75" customHeight="1" thickBot="1" x14ac:dyDescent="0.25">
      <c r="B17" s="10"/>
      <c r="C17" s="11"/>
      <c r="D17" s="11"/>
      <c r="E17" s="12"/>
      <c r="F17" s="47"/>
      <c r="G17" s="14"/>
    </row>
    <row r="18" spans="2:8" ht="15.75" customHeight="1" x14ac:dyDescent="0.2"/>
    <row r="19" spans="2:8" ht="15.75" customHeight="1" x14ac:dyDescent="0.2">
      <c r="C19" s="2" t="s">
        <v>2</v>
      </c>
    </row>
    <row r="20" spans="2:8" ht="15.75" customHeight="1" thickBot="1" x14ac:dyDescent="0.25">
      <c r="F20" s="44"/>
    </row>
    <row r="21" spans="2:8" ht="15.75" customHeight="1" x14ac:dyDescent="0.2">
      <c r="B21" s="15"/>
      <c r="C21" s="16"/>
      <c r="D21" s="16"/>
      <c r="E21" s="16"/>
      <c r="F21" s="16"/>
      <c r="G21" s="17"/>
      <c r="H21" s="30"/>
    </row>
    <row r="22" spans="2:8" ht="15.75" customHeight="1" x14ac:dyDescent="0.2">
      <c r="B22" s="18"/>
      <c r="C22" s="155" t="s">
        <v>23</v>
      </c>
      <c r="D22" s="32" t="s">
        <v>5</v>
      </c>
      <c r="E22" s="20"/>
      <c r="F22" s="19" t="s">
        <v>24</v>
      </c>
      <c r="G22" s="22"/>
      <c r="H22" s="30"/>
    </row>
    <row r="23" spans="2:8" ht="15.75" customHeight="1" x14ac:dyDescent="0.2">
      <c r="B23" s="18"/>
      <c r="C23" s="75">
        <v>0</v>
      </c>
      <c r="D23" s="85"/>
      <c r="E23" s="93"/>
      <c r="F23" s="390">
        <f>(-D7-D12)</f>
        <v>-1670000</v>
      </c>
      <c r="G23" s="22"/>
      <c r="H23" s="30"/>
    </row>
    <row r="24" spans="2:8" ht="15.75" customHeight="1" x14ac:dyDescent="0.25">
      <c r="B24" s="18"/>
      <c r="C24" s="233">
        <v>1</v>
      </c>
      <c r="D24" s="85">
        <f>D7*D14</f>
        <v>473286</v>
      </c>
      <c r="E24" s="93"/>
      <c r="F24" s="129">
        <f>(D8-D9)*(1-D10)+D10*(D24)</f>
        <v>579571.5</v>
      </c>
      <c r="G24" s="22"/>
      <c r="H24" s="30"/>
    </row>
    <row r="25" spans="2:8" ht="15.75" customHeight="1" x14ac:dyDescent="0.25">
      <c r="B25" s="18"/>
      <c r="C25" s="233">
        <v>2</v>
      </c>
      <c r="D25" s="85">
        <f>D7*D15</f>
        <v>631190</v>
      </c>
      <c r="E25" s="93"/>
      <c r="F25" s="419">
        <f>(D8-D9)*(1-D10)+D10*D25</f>
        <v>619047.5</v>
      </c>
      <c r="G25" s="22"/>
      <c r="H25" s="30"/>
    </row>
    <row r="26" spans="2:8" ht="15.75" customHeight="1" x14ac:dyDescent="0.25">
      <c r="B26" s="18"/>
      <c r="C26" s="233">
        <v>3</v>
      </c>
      <c r="D26" s="85">
        <f>D7*D16</f>
        <v>210302</v>
      </c>
      <c r="E26" s="93"/>
      <c r="F26" s="129">
        <f>(D8-D9)*(1-D10)+D10*D26+(F30+D12)</f>
        <v>962631</v>
      </c>
      <c r="G26" s="22"/>
      <c r="H26" s="30"/>
    </row>
    <row r="27" spans="2:8" ht="15.75" customHeight="1" x14ac:dyDescent="0.2">
      <c r="B27" s="18"/>
      <c r="C27" s="52"/>
      <c r="D27" s="33"/>
      <c r="E27" s="20"/>
      <c r="F27" s="19"/>
      <c r="G27" s="22"/>
      <c r="H27" s="30"/>
    </row>
    <row r="28" spans="2:8" ht="15.75" customHeight="1" x14ac:dyDescent="0.2">
      <c r="B28" s="18"/>
      <c r="C28" s="52" t="s">
        <v>26</v>
      </c>
      <c r="D28" s="56"/>
      <c r="E28" s="20"/>
      <c r="F28" s="78">
        <f>D7-SUM(D24:D26)</f>
        <v>105222</v>
      </c>
      <c r="G28" s="22"/>
      <c r="H28" s="30"/>
    </row>
    <row r="29" spans="2:8" ht="15.75" customHeight="1" x14ac:dyDescent="0.2">
      <c r="B29" s="18"/>
      <c r="C29" s="52"/>
      <c r="D29" s="33"/>
      <c r="E29" s="20"/>
      <c r="F29" s="19"/>
      <c r="G29" s="22"/>
      <c r="H29" s="30"/>
    </row>
    <row r="30" spans="2:8" ht="15.75" customHeight="1" x14ac:dyDescent="0.2">
      <c r="B30" s="18"/>
      <c r="C30" s="52" t="s">
        <v>27</v>
      </c>
      <c r="D30" s="56"/>
      <c r="E30" s="20"/>
      <c r="F30" s="222">
        <f>F28+(D13-F28)*(1-D10)</f>
        <v>198805.5</v>
      </c>
      <c r="G30" s="22"/>
      <c r="H30" s="30"/>
    </row>
    <row r="31" spans="2:8" ht="15.75" customHeight="1" x14ac:dyDescent="0.2">
      <c r="B31" s="18"/>
      <c r="C31" s="52"/>
      <c r="D31" s="33"/>
      <c r="E31" s="20"/>
      <c r="F31" s="19"/>
      <c r="G31" s="22"/>
      <c r="H31" s="30"/>
    </row>
    <row r="32" spans="2:8" ht="15.75" customHeight="1" x14ac:dyDescent="0.25">
      <c r="B32" s="18"/>
      <c r="C32" s="52" t="s">
        <v>20</v>
      </c>
      <c r="D32" s="33"/>
      <c r="E32" s="20"/>
      <c r="F32" s="129">
        <f>F23+(F24/(1+D11))+(F25/(POWER(1+D11,2)))+(F26/POWER(1+D11,3))</f>
        <v>26157.162217565347</v>
      </c>
      <c r="G32" s="22"/>
      <c r="H32" s="30"/>
    </row>
    <row r="33" spans="2:8" ht="15.75" customHeight="1" thickBot="1" x14ac:dyDescent="0.25">
      <c r="B33" s="23"/>
      <c r="C33" s="39"/>
      <c r="D33" s="50"/>
      <c r="E33" s="53"/>
      <c r="F33" s="55"/>
      <c r="G33" s="43"/>
      <c r="H33" s="31"/>
    </row>
    <row r="34" spans="2:8" ht="15.75" customHeight="1" x14ac:dyDescent="0.2">
      <c r="B34" s="30"/>
      <c r="C34" s="35"/>
      <c r="D34" s="48"/>
      <c r="E34" s="30"/>
      <c r="F34" s="35"/>
      <c r="G34" s="35"/>
      <c r="H34" s="30"/>
    </row>
    <row r="35" spans="2:8" ht="15.75" customHeight="1" x14ac:dyDescent="0.2">
      <c r="B35" s="30"/>
      <c r="C35" s="35"/>
      <c r="D35" s="49"/>
      <c r="E35" s="30"/>
      <c r="F35" s="35"/>
      <c r="G35" s="35"/>
      <c r="H35" s="30"/>
    </row>
    <row r="36" spans="2:8" ht="15.75" customHeight="1" x14ac:dyDescent="0.2">
      <c r="B36" s="30"/>
      <c r="C36" s="36"/>
      <c r="D36" s="37"/>
      <c r="E36" s="38"/>
      <c r="F36" s="35"/>
      <c r="G36" s="35"/>
      <c r="H36" s="30"/>
    </row>
    <row r="37" spans="2:8" ht="15.75" customHeight="1" x14ac:dyDescent="0.2">
      <c r="B37" s="30"/>
      <c r="C37" s="36"/>
      <c r="D37" s="37"/>
      <c r="E37" s="38"/>
      <c r="F37" s="35"/>
      <c r="G37" s="35"/>
      <c r="H37" s="30"/>
    </row>
    <row r="38" spans="2:8" ht="15.75" customHeight="1" x14ac:dyDescent="0.2">
      <c r="B38" s="30"/>
      <c r="C38" s="36"/>
      <c r="D38" s="37"/>
      <c r="E38" s="38"/>
      <c r="F38" s="35"/>
      <c r="G38" s="35"/>
      <c r="H38" s="30"/>
    </row>
    <row r="39" spans="2:8" ht="15.75" customHeight="1" x14ac:dyDescent="0.2">
      <c r="B39" s="30"/>
      <c r="C39" s="36"/>
      <c r="D39" s="37"/>
      <c r="E39" s="38"/>
      <c r="F39" s="35"/>
      <c r="G39" s="35"/>
      <c r="H39" s="30"/>
    </row>
    <row r="40" spans="2:8" ht="15.75" customHeight="1" x14ac:dyDescent="0.2">
      <c r="B40" s="30"/>
      <c r="C40" s="30"/>
      <c r="D40" s="30"/>
      <c r="E40" s="30"/>
      <c r="F40" s="30"/>
      <c r="G40" s="30"/>
      <c r="H40" s="30"/>
    </row>
    <row r="41" spans="2:8" x14ac:dyDescent="0.2">
      <c r="B41" s="14"/>
      <c r="C41" s="14"/>
      <c r="D41" s="14"/>
      <c r="E41" s="14"/>
      <c r="F41" s="14"/>
      <c r="G41" s="14"/>
      <c r="H41" s="14"/>
    </row>
    <row r="43" spans="2:8" x14ac:dyDescent="0.2">
      <c r="D43" s="26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6" width="18.28515625" bestFit="1" customWidth="1"/>
    <col min="7" max="7" width="3.140625" customWidth="1"/>
    <col min="8" max="8" width="9.140625" customWidth="1"/>
  </cols>
  <sheetData>
    <row r="1" spans="2:8" ht="17.25" customHeight="1" x14ac:dyDescent="0.25">
      <c r="C1" s="1" t="s">
        <v>412</v>
      </c>
    </row>
    <row r="2" spans="2:8" ht="15.75" customHeight="1" x14ac:dyDescent="0.2">
      <c r="C2" s="3" t="s">
        <v>15</v>
      </c>
    </row>
    <row r="3" spans="2:8" ht="15.75" customHeight="1" x14ac:dyDescent="0.2"/>
    <row r="4" spans="2:8" ht="15.75" customHeight="1" x14ac:dyDescent="0.2">
      <c r="C4" s="2" t="s">
        <v>1</v>
      </c>
    </row>
    <row r="5" spans="2:8" ht="15.75" customHeight="1" thickBot="1" x14ac:dyDescent="0.25">
      <c r="G5" s="44"/>
    </row>
    <row r="6" spans="2:8" ht="15.75" customHeight="1" x14ac:dyDescent="0.2">
      <c r="B6" s="5"/>
      <c r="C6" s="6"/>
      <c r="D6" s="6"/>
      <c r="E6" s="7"/>
      <c r="F6" s="14"/>
      <c r="G6" s="14"/>
    </row>
    <row r="7" spans="2:8" ht="15.75" customHeight="1" x14ac:dyDescent="0.2">
      <c r="B7" s="8"/>
      <c r="C7" s="13" t="s">
        <v>16</v>
      </c>
      <c r="D7" s="126">
        <f>'#4'!D7</f>
        <v>1420000</v>
      </c>
      <c r="E7" s="9"/>
      <c r="F7" s="14"/>
      <c r="G7" s="14"/>
    </row>
    <row r="8" spans="2:8" ht="15.75" customHeight="1" x14ac:dyDescent="0.2">
      <c r="B8" s="8"/>
      <c r="C8" s="13" t="s">
        <v>17</v>
      </c>
      <c r="D8" s="126">
        <f>'#4'!D8</f>
        <v>1090000</v>
      </c>
      <c r="E8" s="9"/>
      <c r="F8" s="14"/>
      <c r="G8" s="14"/>
      <c r="H8" s="391"/>
    </row>
    <row r="9" spans="2:8" ht="15.75" customHeight="1" x14ac:dyDescent="0.2">
      <c r="B9" s="8"/>
      <c r="C9" s="13" t="s">
        <v>14</v>
      </c>
      <c r="D9" s="126">
        <f>'#4'!D9</f>
        <v>475000</v>
      </c>
      <c r="E9" s="9"/>
      <c r="F9" s="14"/>
      <c r="G9" s="14"/>
    </row>
    <row r="10" spans="2:8" ht="15.75" customHeight="1" x14ac:dyDescent="0.2">
      <c r="B10" s="8"/>
      <c r="C10" s="13" t="s">
        <v>6</v>
      </c>
      <c r="D10" s="127">
        <f>'#4'!D10</f>
        <v>0.25</v>
      </c>
      <c r="E10" s="9"/>
      <c r="F10" s="45"/>
    </row>
    <row r="11" spans="2:8" ht="15.75" customHeight="1" x14ac:dyDescent="0.2">
      <c r="B11" s="8"/>
      <c r="C11" s="13" t="s">
        <v>19</v>
      </c>
      <c r="D11" s="130">
        <f>'#4'!D11</f>
        <v>0.12</v>
      </c>
      <c r="E11" s="40"/>
      <c r="F11" s="46"/>
    </row>
    <row r="12" spans="2:8" ht="15.75" customHeight="1" x14ac:dyDescent="0.2">
      <c r="B12" s="8"/>
      <c r="C12" s="13" t="s">
        <v>21</v>
      </c>
      <c r="D12" s="126">
        <f>'#4'!D15</f>
        <v>250000</v>
      </c>
      <c r="E12" s="40"/>
      <c r="F12" s="46"/>
    </row>
    <row r="13" spans="2:8" ht="15.75" customHeight="1" x14ac:dyDescent="0.2">
      <c r="B13" s="8"/>
      <c r="C13" s="13" t="s">
        <v>22</v>
      </c>
      <c r="D13" s="126">
        <f>'#4'!D16</f>
        <v>230000</v>
      </c>
      <c r="E13" s="40"/>
      <c r="F13" s="46"/>
      <c r="H13" s="391"/>
    </row>
    <row r="14" spans="2:8" ht="15.75" customHeight="1" thickBot="1" x14ac:dyDescent="0.25">
      <c r="B14" s="10"/>
      <c r="C14" s="11"/>
      <c r="D14" s="11"/>
      <c r="E14" s="12"/>
      <c r="F14" s="47"/>
      <c r="G14" s="14"/>
    </row>
    <row r="15" spans="2:8" ht="15.75" customHeight="1" x14ac:dyDescent="0.2"/>
    <row r="16" spans="2:8" ht="15.75" customHeight="1" x14ac:dyDescent="0.2">
      <c r="C16" s="2" t="s">
        <v>2</v>
      </c>
    </row>
    <row r="17" spans="2:8" ht="15.75" customHeight="1" thickBot="1" x14ac:dyDescent="0.25">
      <c r="F17" s="44"/>
    </row>
    <row r="18" spans="2:8" ht="15.75" customHeight="1" x14ac:dyDescent="0.2">
      <c r="B18" s="15"/>
      <c r="C18" s="16"/>
      <c r="D18" s="16"/>
      <c r="E18" s="16"/>
      <c r="F18" s="16"/>
      <c r="G18" s="17"/>
      <c r="H18" s="30"/>
    </row>
    <row r="19" spans="2:8" ht="15.75" customHeight="1" x14ac:dyDescent="0.2">
      <c r="B19" s="18"/>
      <c r="C19" s="155" t="s">
        <v>23</v>
      </c>
      <c r="D19" s="32" t="s">
        <v>5</v>
      </c>
      <c r="E19" s="20"/>
      <c r="F19" s="19" t="s">
        <v>24</v>
      </c>
      <c r="G19" s="22"/>
      <c r="H19" s="30"/>
    </row>
    <row r="20" spans="2:8" ht="15.75" customHeight="1" x14ac:dyDescent="0.2">
      <c r="B20" s="18"/>
      <c r="C20" s="75">
        <v>0</v>
      </c>
      <c r="D20" s="85"/>
      <c r="E20" s="93"/>
      <c r="F20" s="390">
        <f>(-D7-D12)</f>
        <v>-1670000</v>
      </c>
      <c r="G20" s="22"/>
      <c r="H20" s="30"/>
    </row>
    <row r="21" spans="2:8" ht="15.75" customHeight="1" x14ac:dyDescent="0.25">
      <c r="B21" s="18"/>
      <c r="C21" s="233">
        <v>1</v>
      </c>
      <c r="D21" s="85">
        <f>D7</f>
        <v>1420000</v>
      </c>
      <c r="E21" s="93"/>
      <c r="F21" s="129">
        <f>(D8-D9)*(1-D10)+D10*(D21)</f>
        <v>816250</v>
      </c>
      <c r="G21" s="22"/>
      <c r="H21" s="30"/>
    </row>
    <row r="22" spans="2:8" ht="15.75" customHeight="1" x14ac:dyDescent="0.25">
      <c r="B22" s="18"/>
      <c r="C22" s="233">
        <v>2</v>
      </c>
      <c r="D22" s="85"/>
      <c r="E22" s="93"/>
      <c r="F22" s="419">
        <f>(D8-D9)*(1-D10)+D10*D22</f>
        <v>461250</v>
      </c>
      <c r="G22" s="22"/>
      <c r="H22" s="30"/>
    </row>
    <row r="23" spans="2:8" ht="15.75" customHeight="1" x14ac:dyDescent="0.25">
      <c r="B23" s="18"/>
      <c r="C23" s="233">
        <v>3</v>
      </c>
      <c r="D23" s="85"/>
      <c r="E23" s="93"/>
      <c r="F23" s="129">
        <f>(D8-D9)*(1-D10)+D10*D23+(F27+D12)</f>
        <v>883750</v>
      </c>
      <c r="G23" s="22"/>
      <c r="H23" s="30"/>
    </row>
    <row r="24" spans="2:8" ht="15.75" customHeight="1" x14ac:dyDescent="0.2">
      <c r="B24" s="18"/>
      <c r="C24" s="52"/>
      <c r="D24" s="33"/>
      <c r="E24" s="20"/>
      <c r="F24" s="19"/>
      <c r="G24" s="22"/>
      <c r="H24" s="30"/>
    </row>
    <row r="25" spans="2:8" ht="15.75" customHeight="1" x14ac:dyDescent="0.2">
      <c r="B25" s="18"/>
      <c r="C25" s="52" t="s">
        <v>26</v>
      </c>
      <c r="D25" s="56"/>
      <c r="E25" s="20"/>
      <c r="F25" s="78">
        <f>D7-SUM(D21:D23)</f>
        <v>0</v>
      </c>
      <c r="G25" s="22"/>
      <c r="H25" s="30"/>
    </row>
    <row r="26" spans="2:8" ht="15.75" customHeight="1" x14ac:dyDescent="0.2">
      <c r="B26" s="18"/>
      <c r="C26" s="52"/>
      <c r="D26" s="33"/>
      <c r="E26" s="20"/>
      <c r="F26" s="19"/>
      <c r="G26" s="22"/>
      <c r="H26" s="30"/>
    </row>
    <row r="27" spans="2:8" ht="15.75" customHeight="1" x14ac:dyDescent="0.2">
      <c r="B27" s="18"/>
      <c r="C27" s="52" t="s">
        <v>27</v>
      </c>
      <c r="D27" s="56"/>
      <c r="E27" s="20"/>
      <c r="F27" s="222">
        <f>F25+(D13-F25)*(1-D10)</f>
        <v>172500</v>
      </c>
      <c r="G27" s="22"/>
      <c r="H27" s="30"/>
    </row>
    <row r="28" spans="2:8" ht="15.75" customHeight="1" x14ac:dyDescent="0.2">
      <c r="B28" s="18"/>
      <c r="C28" s="52"/>
      <c r="D28" s="33"/>
      <c r="E28" s="20"/>
      <c r="F28" s="19"/>
      <c r="G28" s="22"/>
      <c r="H28" s="30"/>
    </row>
    <row r="29" spans="2:8" ht="15.75" customHeight="1" x14ac:dyDescent="0.25">
      <c r="B29" s="18"/>
      <c r="C29" s="52" t="s">
        <v>20</v>
      </c>
      <c r="D29" s="33"/>
      <c r="E29" s="20"/>
      <c r="F29" s="129">
        <f>F20+(F21/(1+D11))+(F22/(POWER(1+D11,2)))+(F23/POWER(1+D11,3))</f>
        <v>55536.112882652902</v>
      </c>
      <c r="G29" s="22"/>
      <c r="H29" s="30"/>
    </row>
    <row r="30" spans="2:8" ht="15.75" customHeight="1" thickBot="1" x14ac:dyDescent="0.25">
      <c r="B30" s="23"/>
      <c r="C30" s="39"/>
      <c r="D30" s="50"/>
      <c r="E30" s="53"/>
      <c r="F30" s="55"/>
      <c r="G30" s="43"/>
      <c r="H30" s="31"/>
    </row>
    <row r="31" spans="2:8" ht="15.75" customHeight="1" x14ac:dyDescent="0.2">
      <c r="B31" s="30"/>
      <c r="C31" s="35"/>
      <c r="D31" s="48"/>
      <c r="E31" s="30"/>
      <c r="F31" s="35"/>
      <c r="G31" s="35"/>
      <c r="H31" s="30"/>
    </row>
    <row r="32" spans="2:8" ht="15.75" customHeight="1" x14ac:dyDescent="0.2">
      <c r="B32" s="30"/>
      <c r="C32" s="35"/>
      <c r="D32" s="49"/>
      <c r="E32" s="30"/>
      <c r="F32" s="35"/>
      <c r="G32" s="35"/>
      <c r="H32" s="30"/>
    </row>
    <row r="33" spans="2:8" ht="15.75" customHeight="1" x14ac:dyDescent="0.2">
      <c r="B33" s="30"/>
      <c r="C33" s="36"/>
      <c r="D33" s="37"/>
      <c r="E33" s="38"/>
      <c r="F33" s="35"/>
      <c r="G33" s="35"/>
      <c r="H33" s="30"/>
    </row>
    <row r="34" spans="2:8" ht="15.75" customHeight="1" x14ac:dyDescent="0.2">
      <c r="B34" s="30"/>
      <c r="C34" s="36"/>
      <c r="D34" s="37"/>
      <c r="E34" s="38"/>
      <c r="F34" s="35"/>
      <c r="G34" s="35"/>
      <c r="H34" s="30"/>
    </row>
    <row r="35" spans="2:8" ht="15.75" customHeight="1" x14ac:dyDescent="0.2">
      <c r="B35" s="30"/>
      <c r="C35" s="36"/>
      <c r="D35" s="37"/>
      <c r="E35" s="38"/>
      <c r="F35" s="35"/>
      <c r="G35" s="35"/>
      <c r="H35" s="30"/>
    </row>
    <row r="36" spans="2:8" ht="15.75" customHeight="1" x14ac:dyDescent="0.2">
      <c r="B36" s="30"/>
      <c r="C36" s="36"/>
      <c r="D36" s="37"/>
      <c r="E36" s="38"/>
      <c r="F36" s="35"/>
      <c r="G36" s="35"/>
      <c r="H36" s="30"/>
    </row>
    <row r="37" spans="2:8" ht="15.75" customHeight="1" x14ac:dyDescent="0.2">
      <c r="B37" s="30"/>
      <c r="C37" s="30"/>
      <c r="D37" s="30"/>
      <c r="E37" s="30"/>
      <c r="F37" s="30"/>
      <c r="G37" s="30"/>
      <c r="H37" s="30"/>
    </row>
    <row r="38" spans="2:8" x14ac:dyDescent="0.2">
      <c r="B38" s="14"/>
      <c r="C38" s="14"/>
      <c r="D38" s="14"/>
      <c r="E38" s="14"/>
      <c r="F38" s="14"/>
      <c r="G38" s="14"/>
      <c r="H38" s="14"/>
    </row>
    <row r="40" spans="2:8" x14ac:dyDescent="0.2">
      <c r="D40" s="26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C3" sqref="C3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9.140625" customWidth="1"/>
  </cols>
  <sheetData>
    <row r="1" spans="2:7" ht="18" customHeight="1" x14ac:dyDescent="0.25">
      <c r="C1" s="1" t="s">
        <v>412</v>
      </c>
    </row>
    <row r="2" spans="2:7" ht="15.75" customHeight="1" x14ac:dyDescent="0.2">
      <c r="C2" s="3" t="s">
        <v>188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30</v>
      </c>
      <c r="D7" s="83">
        <v>575000</v>
      </c>
      <c r="E7" s="9"/>
      <c r="G7" s="57"/>
    </row>
    <row r="8" spans="2:7" ht="15.75" customHeight="1" x14ac:dyDescent="0.2">
      <c r="B8" s="8"/>
      <c r="C8" s="13" t="s">
        <v>32</v>
      </c>
      <c r="D8" s="83">
        <v>60000</v>
      </c>
      <c r="E8" s="9"/>
    </row>
    <row r="9" spans="2:7" ht="15.75" customHeight="1" x14ac:dyDescent="0.2">
      <c r="B9" s="8"/>
      <c r="C9" s="13" t="s">
        <v>40</v>
      </c>
      <c r="D9" s="83">
        <v>176000</v>
      </c>
      <c r="E9" s="9"/>
    </row>
    <row r="10" spans="2:7" ht="15.75" customHeight="1" x14ac:dyDescent="0.2">
      <c r="B10" s="8"/>
      <c r="C10" s="13" t="s">
        <v>38</v>
      </c>
      <c r="D10" s="83">
        <v>80000</v>
      </c>
      <c r="E10" s="9"/>
    </row>
    <row r="11" spans="2:7" ht="15.75" customHeight="1" x14ac:dyDescent="0.2">
      <c r="B11" s="8"/>
      <c r="C11" s="13" t="s">
        <v>6</v>
      </c>
      <c r="D11" s="82">
        <v>0.23</v>
      </c>
      <c r="E11" s="9"/>
    </row>
    <row r="12" spans="2:7" ht="15.75" customHeight="1" x14ac:dyDescent="0.2">
      <c r="B12" s="8"/>
      <c r="C12" s="13" t="s">
        <v>33</v>
      </c>
      <c r="D12" s="94"/>
      <c r="E12" s="9"/>
    </row>
    <row r="13" spans="2:7" ht="15.75" customHeight="1" x14ac:dyDescent="0.2">
      <c r="B13" s="8"/>
      <c r="C13" s="13" t="s">
        <v>35</v>
      </c>
      <c r="D13" s="94">
        <v>5</v>
      </c>
      <c r="E13" s="9"/>
    </row>
    <row r="14" spans="2:7" ht="15.75" customHeight="1" thickBot="1" x14ac:dyDescent="0.25">
      <c r="B14" s="10"/>
      <c r="C14" s="11"/>
      <c r="D14" s="11"/>
      <c r="E14" s="12"/>
    </row>
    <row r="15" spans="2:7" ht="15.75" customHeight="1" x14ac:dyDescent="0.2"/>
    <row r="16" spans="2:7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5"/>
      <c r="C18" s="16"/>
      <c r="D18" s="16"/>
      <c r="E18" s="17"/>
      <c r="F18" s="30"/>
      <c r="G18" s="30"/>
      <c r="H18" s="30"/>
    </row>
    <row r="19" spans="2:8" ht="15.75" customHeight="1" x14ac:dyDescent="0.2">
      <c r="B19" s="18"/>
      <c r="C19" s="19" t="s">
        <v>36</v>
      </c>
      <c r="D19" s="95">
        <f>D7/D13</f>
        <v>115000</v>
      </c>
      <c r="E19" s="21"/>
      <c r="F19" s="30"/>
      <c r="G19" s="30"/>
      <c r="H19" s="30"/>
    </row>
    <row r="20" spans="2:8" ht="15.75" customHeight="1" x14ac:dyDescent="0.2">
      <c r="B20" s="18"/>
      <c r="C20" s="19" t="s">
        <v>27</v>
      </c>
      <c r="D20" s="95">
        <f>D8*(1-D11)</f>
        <v>46200</v>
      </c>
      <c r="E20" s="22"/>
      <c r="F20" s="30"/>
      <c r="G20" s="30"/>
      <c r="H20" s="31"/>
    </row>
    <row r="21" spans="2:8" ht="15.75" customHeight="1" x14ac:dyDescent="0.2">
      <c r="B21" s="18"/>
      <c r="C21" s="19" t="s">
        <v>11</v>
      </c>
      <c r="D21" s="95">
        <f>D9*(1-D11)+D11*(D19)</f>
        <v>161970</v>
      </c>
      <c r="E21" s="21"/>
      <c r="F21" s="30"/>
      <c r="G21" s="30"/>
      <c r="H21" s="30"/>
    </row>
    <row r="22" spans="2:8" ht="15.75" customHeight="1" x14ac:dyDescent="0.2">
      <c r="B22" s="18"/>
      <c r="C22" s="19"/>
      <c r="D22" s="95"/>
      <c r="E22" s="21"/>
      <c r="F22" s="30"/>
      <c r="G22" s="30"/>
      <c r="H22" s="30"/>
    </row>
    <row r="23" spans="2:8" ht="15.75" customHeight="1" x14ac:dyDescent="0.2">
      <c r="B23" s="18"/>
      <c r="C23" s="132" t="s">
        <v>23</v>
      </c>
      <c r="D23" s="133" t="s">
        <v>24</v>
      </c>
      <c r="E23" s="21"/>
      <c r="F23" s="30"/>
      <c r="G23" s="30"/>
      <c r="H23" s="30"/>
    </row>
    <row r="24" spans="2:8" ht="15.75" customHeight="1" x14ac:dyDescent="0.2">
      <c r="B24" s="18"/>
      <c r="C24" s="19">
        <v>0</v>
      </c>
      <c r="D24" s="95">
        <f>-D7+D10</f>
        <v>-495000</v>
      </c>
      <c r="E24" s="21"/>
      <c r="F24" s="30"/>
      <c r="G24" s="30"/>
      <c r="H24" s="30"/>
    </row>
    <row r="25" spans="2:8" ht="15.75" customHeight="1" x14ac:dyDescent="0.2">
      <c r="B25" s="18"/>
      <c r="C25" s="19">
        <v>1</v>
      </c>
      <c r="D25" s="95">
        <f>D21</f>
        <v>161970</v>
      </c>
      <c r="E25" s="21"/>
      <c r="F25" s="30"/>
      <c r="G25" s="30"/>
      <c r="H25" s="30"/>
    </row>
    <row r="26" spans="2:8" ht="15.75" customHeight="1" x14ac:dyDescent="0.2">
      <c r="B26" s="18"/>
      <c r="C26" s="19">
        <v>2</v>
      </c>
      <c r="D26" s="95">
        <f>D21</f>
        <v>161970</v>
      </c>
      <c r="E26" s="21"/>
      <c r="F26" s="30"/>
      <c r="G26" s="30"/>
      <c r="H26" s="30"/>
    </row>
    <row r="27" spans="2:8" ht="15.75" customHeight="1" x14ac:dyDescent="0.2">
      <c r="B27" s="18"/>
      <c r="C27" s="19">
        <v>3</v>
      </c>
      <c r="D27" s="95">
        <f>D21</f>
        <v>161970</v>
      </c>
      <c r="E27" s="21"/>
      <c r="F27" s="30"/>
      <c r="G27" s="30"/>
      <c r="H27" s="30"/>
    </row>
    <row r="28" spans="2:8" ht="15.75" customHeight="1" x14ac:dyDescent="0.2">
      <c r="B28" s="18"/>
      <c r="C28" s="19">
        <v>4</v>
      </c>
      <c r="D28" s="95">
        <f>D21</f>
        <v>161970</v>
      </c>
      <c r="E28" s="21"/>
      <c r="F28" s="30"/>
      <c r="G28" s="30"/>
      <c r="H28" s="30"/>
    </row>
    <row r="29" spans="2:8" ht="15.75" customHeight="1" x14ac:dyDescent="0.2">
      <c r="B29" s="18"/>
      <c r="C29" s="19">
        <v>5</v>
      </c>
      <c r="D29" s="95">
        <f>D21+D20-D10</f>
        <v>128170</v>
      </c>
      <c r="E29" s="21"/>
      <c r="F29" s="30"/>
      <c r="G29" s="30"/>
      <c r="H29" s="30"/>
    </row>
    <row r="30" spans="2:8" ht="15.75" customHeight="1" x14ac:dyDescent="0.2">
      <c r="B30" s="18"/>
      <c r="C30" s="19"/>
      <c r="D30" s="95"/>
      <c r="E30" s="21"/>
      <c r="F30" s="30"/>
      <c r="G30" s="30"/>
      <c r="H30" s="30"/>
    </row>
    <row r="31" spans="2:8" ht="15.75" customHeight="1" x14ac:dyDescent="0.25">
      <c r="B31" s="18"/>
      <c r="C31" s="19" t="s">
        <v>70</v>
      </c>
      <c r="D31" s="134">
        <f>IRR(D24:D29)</f>
        <v>0.17700508125939596</v>
      </c>
      <c r="E31" s="21"/>
      <c r="F31" s="30"/>
      <c r="G31" s="30"/>
      <c r="H31" s="30"/>
    </row>
    <row r="32" spans="2:8" ht="15.75" customHeight="1" thickBot="1" x14ac:dyDescent="0.25">
      <c r="B32" s="23"/>
      <c r="C32" s="53"/>
      <c r="D32" s="53"/>
      <c r="E32" s="25"/>
      <c r="F32" s="30"/>
      <c r="G32" s="30"/>
      <c r="H32" s="30"/>
    </row>
    <row r="33" spans="2:8" ht="15.75" customHeight="1" x14ac:dyDescent="0.2">
      <c r="B33" s="14"/>
      <c r="C33" s="14"/>
      <c r="D33" s="14"/>
      <c r="E33" s="14"/>
      <c r="F33" s="14"/>
      <c r="G33" s="14"/>
      <c r="H33" s="14"/>
    </row>
    <row r="34" spans="2:8" ht="15.75" customHeight="1" x14ac:dyDescent="0.2"/>
    <row r="35" spans="2:8" ht="15.75" customHeight="1" x14ac:dyDescent="0.2">
      <c r="D35" s="26"/>
    </row>
    <row r="36" spans="2:8" ht="15.75" customHeight="1" x14ac:dyDescent="0.2"/>
    <row r="37" spans="2:8" ht="15.75" customHeight="1" x14ac:dyDescent="0.2"/>
    <row r="38" spans="2:8" ht="15.75" customHeight="1" x14ac:dyDescent="0.2"/>
    <row r="39" spans="2: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9.140625" customWidth="1"/>
  </cols>
  <sheetData>
    <row r="1" spans="2:9" ht="18.75" customHeight="1" x14ac:dyDescent="0.25">
      <c r="C1" s="1" t="s">
        <v>412</v>
      </c>
    </row>
    <row r="2" spans="2:9" ht="15.75" customHeight="1" x14ac:dyDescent="0.2">
      <c r="C2" s="3" t="s">
        <v>186</v>
      </c>
    </row>
    <row r="3" spans="2:9" ht="15.75" customHeight="1" x14ac:dyDescent="0.2"/>
    <row r="4" spans="2:9" ht="15.75" customHeight="1" x14ac:dyDescent="0.2">
      <c r="C4" s="2" t="s">
        <v>1</v>
      </c>
    </row>
    <row r="5" spans="2:9" ht="15.75" customHeight="1" thickBot="1" x14ac:dyDescent="0.25"/>
    <row r="6" spans="2:9" ht="15.75" customHeight="1" x14ac:dyDescent="0.2">
      <c r="B6" s="5"/>
      <c r="C6" s="6"/>
      <c r="D6" s="6"/>
      <c r="E6" s="7"/>
    </row>
    <row r="7" spans="2:9" ht="15.75" customHeight="1" x14ac:dyDescent="0.2">
      <c r="B7" s="8"/>
      <c r="C7" s="13" t="s">
        <v>79</v>
      </c>
      <c r="D7" s="83">
        <v>375000</v>
      </c>
      <c r="E7" s="9"/>
    </row>
    <row r="8" spans="2:9" ht="15.75" customHeight="1" x14ac:dyDescent="0.2">
      <c r="B8" s="8"/>
      <c r="C8" s="13" t="s">
        <v>32</v>
      </c>
      <c r="D8" s="83">
        <v>25000</v>
      </c>
      <c r="E8" s="9"/>
    </row>
    <row r="9" spans="2:9" ht="15.75" customHeight="1" x14ac:dyDescent="0.2">
      <c r="B9" s="8"/>
      <c r="C9" s="13" t="s">
        <v>29</v>
      </c>
      <c r="D9" s="83">
        <v>95000</v>
      </c>
      <c r="E9" s="9"/>
    </row>
    <row r="10" spans="2:9" ht="15.75" customHeight="1" x14ac:dyDescent="0.2">
      <c r="B10" s="8"/>
      <c r="C10" s="13" t="s">
        <v>69</v>
      </c>
      <c r="D10" s="83">
        <v>15000</v>
      </c>
      <c r="E10" s="9"/>
      <c r="G10" s="57"/>
    </row>
    <row r="11" spans="2:9" ht="15.75" customHeight="1" x14ac:dyDescent="0.2">
      <c r="B11" s="8"/>
      <c r="C11" s="13" t="s">
        <v>6</v>
      </c>
      <c r="D11" s="82">
        <v>0.24</v>
      </c>
      <c r="E11" s="9"/>
    </row>
    <row r="12" spans="2:9" ht="15.75" customHeight="1" x14ac:dyDescent="0.2">
      <c r="B12" s="8"/>
      <c r="C12" s="13" t="s">
        <v>31</v>
      </c>
      <c r="D12" s="82">
        <v>0.1</v>
      </c>
      <c r="E12" s="9"/>
      <c r="I12" s="58"/>
    </row>
    <row r="13" spans="2:9" ht="15.75" customHeight="1" x14ac:dyDescent="0.2">
      <c r="B13" s="8"/>
      <c r="C13" s="13" t="s">
        <v>33</v>
      </c>
      <c r="D13" s="94"/>
      <c r="E13" s="9"/>
    </row>
    <row r="14" spans="2:9" ht="15.75" customHeight="1" x14ac:dyDescent="0.2">
      <c r="B14" s="8"/>
      <c r="C14" s="13" t="s">
        <v>35</v>
      </c>
      <c r="D14" s="94">
        <v>5</v>
      </c>
      <c r="E14" s="9"/>
    </row>
    <row r="15" spans="2:9" ht="15.75" customHeight="1" x14ac:dyDescent="0.2">
      <c r="B15" s="8"/>
      <c r="C15" s="13"/>
      <c r="D15" s="29"/>
      <c r="E15" s="9"/>
    </row>
    <row r="16" spans="2:9" ht="15.75" customHeight="1" thickBot="1" x14ac:dyDescent="0.25">
      <c r="B16" s="10"/>
      <c r="C16" s="11"/>
      <c r="D16" s="11"/>
      <c r="E16" s="12"/>
    </row>
    <row r="17" spans="2:8" ht="15.75" customHeight="1" x14ac:dyDescent="0.2"/>
    <row r="18" spans="2:8" ht="15.75" customHeight="1" x14ac:dyDescent="0.2">
      <c r="C18" s="2" t="s">
        <v>2</v>
      </c>
    </row>
    <row r="19" spans="2:8" ht="15.75" customHeight="1" thickBot="1" x14ac:dyDescent="0.25"/>
    <row r="20" spans="2:8" ht="15.75" customHeight="1" x14ac:dyDescent="0.2">
      <c r="B20" s="15"/>
      <c r="C20" s="16"/>
      <c r="D20" s="16"/>
      <c r="E20" s="17"/>
      <c r="F20" s="30"/>
      <c r="G20" s="30"/>
      <c r="H20" s="30"/>
    </row>
    <row r="21" spans="2:8" ht="15.75" customHeight="1" x14ac:dyDescent="0.2">
      <c r="B21" s="18"/>
      <c r="C21" s="19" t="s">
        <v>36</v>
      </c>
      <c r="D21" s="78">
        <f>D7/D14</f>
        <v>75000</v>
      </c>
      <c r="E21" s="21"/>
      <c r="F21" s="30"/>
      <c r="G21" s="30"/>
      <c r="H21" s="30"/>
    </row>
    <row r="22" spans="2:8" ht="15.75" customHeight="1" x14ac:dyDescent="0.2">
      <c r="B22" s="18"/>
      <c r="C22" s="19" t="s">
        <v>27</v>
      </c>
      <c r="D22" s="78">
        <f>D8*(1-D11)</f>
        <v>19000</v>
      </c>
      <c r="E22" s="22"/>
      <c r="F22" s="30"/>
      <c r="G22" s="30"/>
      <c r="H22" s="31"/>
    </row>
    <row r="23" spans="2:8" ht="15.75" customHeight="1" x14ac:dyDescent="0.2">
      <c r="B23" s="18"/>
      <c r="C23" s="19" t="s">
        <v>11</v>
      </c>
      <c r="D23" s="78">
        <f>D9*(1-D11)+D11*D21</f>
        <v>90200</v>
      </c>
      <c r="E23" s="21"/>
      <c r="F23" s="30"/>
      <c r="G23" s="30"/>
      <c r="H23" s="30"/>
    </row>
    <row r="24" spans="2:8" ht="15.75" customHeight="1" x14ac:dyDescent="0.2">
      <c r="B24" s="18"/>
      <c r="C24" s="19"/>
      <c r="D24" s="77"/>
      <c r="E24" s="21"/>
      <c r="F24" s="30"/>
      <c r="G24" s="30"/>
      <c r="H24" s="30"/>
    </row>
    <row r="25" spans="2:8" ht="15.75" customHeight="1" x14ac:dyDescent="0.25">
      <c r="B25" s="18"/>
      <c r="C25" s="19" t="s">
        <v>20</v>
      </c>
      <c r="D25" s="170">
        <f>((-D7)-D10)+PV(D12,D14,-D23,0,0)+((D22+D10)/(POWER(1+D12,D14)))</f>
        <v>-26959.70841534654</v>
      </c>
      <c r="E25" s="21"/>
      <c r="F25" s="30"/>
      <c r="G25" s="30"/>
      <c r="H25" s="30"/>
    </row>
    <row r="26" spans="2:8" ht="15.75" customHeight="1" thickBot="1" x14ac:dyDescent="0.25">
      <c r="B26" s="23"/>
      <c r="C26" s="53"/>
      <c r="D26" s="53"/>
      <c r="E26" s="25"/>
      <c r="F26" s="30"/>
      <c r="G26" s="30"/>
      <c r="H26" s="30"/>
    </row>
    <row r="27" spans="2:8" ht="15.75" customHeight="1" x14ac:dyDescent="0.2">
      <c r="B27" s="14"/>
      <c r="C27" s="14"/>
      <c r="D27" s="14"/>
      <c r="E27" s="14"/>
      <c r="F27" s="14"/>
      <c r="G27" s="14"/>
      <c r="H27" s="14"/>
    </row>
    <row r="28" spans="2:8" ht="15.75" customHeight="1" x14ac:dyDescent="0.2"/>
    <row r="29" spans="2:8" ht="15.75" customHeight="1" x14ac:dyDescent="0.2">
      <c r="D29" s="26"/>
    </row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Chapter 6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</vt:lpstr>
      <vt:lpstr>#32</vt:lpstr>
      <vt:lpstr>#33</vt:lpstr>
      <vt:lpstr>#34</vt:lpstr>
      <vt:lpstr>#35</vt:lpstr>
      <vt:lpstr>#36</vt:lpstr>
      <vt:lpstr>#37</vt:lpstr>
      <vt:lpstr>#38</vt:lpstr>
      <vt:lpstr>#39</vt:lpstr>
      <vt:lpstr>#40</vt:lpstr>
      <vt:lpstr>#41</vt:lpstr>
      <vt:lpstr>#42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Reese, William A</cp:lastModifiedBy>
  <cp:lastPrinted>2011-05-26T20:21:41Z</cp:lastPrinted>
  <dcterms:created xsi:type="dcterms:W3CDTF">2002-05-08T06:11:51Z</dcterms:created>
  <dcterms:modified xsi:type="dcterms:W3CDTF">2020-10-20T14:45:22Z</dcterms:modified>
</cp:coreProperties>
</file>