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6" sheetId="12" r:id="rId1"/>
    <sheet name="Section 6.2" sheetId="3" r:id="rId2"/>
    <sheet name="Section 6.4" sheetId="8" r:id="rId3"/>
    <sheet name="Bid price" sheetId="19" r:id="rId4"/>
    <sheet name="Section 6.5" sheetId="13" r:id="rId5"/>
    <sheet name="Master It!" sheetId="6" r:id="rId6"/>
    <sheet name="Solution" sheetId="15" r:id="rId7"/>
  </sheets>
  <definedNames>
    <definedName name="solver_adj" localSheetId="2" hidden="1">'Section 6.4'!$D$48</definedName>
    <definedName name="solver_adj" localSheetId="4" hidden="1">'Section 6.5'!#REF!</definedName>
    <definedName name="solver_adj" localSheetId="6" hidden="1">Solution!$C$15</definedName>
    <definedName name="solver_cvg" localSheetId="2" hidden="1">0.0001</definedName>
    <definedName name="solver_cvg" localSheetId="4" hidden="1">0.0001</definedName>
    <definedName name="solver_cvg" localSheetId="6" hidden="1">0.0001</definedName>
    <definedName name="solver_drv" localSheetId="2" hidden="1">1</definedName>
    <definedName name="solver_drv" localSheetId="4" hidden="1">1</definedName>
    <definedName name="solver_drv" localSheetId="6" hidden="1">1</definedName>
    <definedName name="solver_eng" localSheetId="2" hidden="1">1</definedName>
    <definedName name="solver_eng" localSheetId="6" hidden="1">1</definedName>
    <definedName name="solver_est" localSheetId="2" hidden="1">1</definedName>
    <definedName name="solver_est" localSheetId="4" hidden="1">1</definedName>
    <definedName name="solver_est" localSheetId="6" hidden="1">1</definedName>
    <definedName name="solver_itr" localSheetId="2" hidden="1">100</definedName>
    <definedName name="solver_itr" localSheetId="4" hidden="1">100</definedName>
    <definedName name="solver_itr" localSheetId="6" hidden="1">100</definedName>
    <definedName name="solver_lin" localSheetId="2" hidden="1">2</definedName>
    <definedName name="solver_lin" localSheetId="4" hidden="1">2</definedName>
    <definedName name="solver_lin" localSheetId="6" hidden="1">2</definedName>
    <definedName name="solver_mip" localSheetId="2" hidden="1">2147483647</definedName>
    <definedName name="solver_mip" localSheetId="6" hidden="1">2147483647</definedName>
    <definedName name="solver_mni" localSheetId="2" hidden="1">30</definedName>
    <definedName name="solver_mni" localSheetId="6" hidden="1">30</definedName>
    <definedName name="solver_mrt" localSheetId="2" hidden="1">0.075</definedName>
    <definedName name="solver_mrt" localSheetId="6" hidden="1">0.075</definedName>
    <definedName name="solver_msl" localSheetId="2" hidden="1">2</definedName>
    <definedName name="solver_msl" localSheetId="6" hidden="1">2</definedName>
    <definedName name="solver_neg" localSheetId="2" hidden="1">2</definedName>
    <definedName name="solver_neg" localSheetId="4" hidden="1">2</definedName>
    <definedName name="solver_neg" localSheetId="6" hidden="1">2</definedName>
    <definedName name="solver_nod" localSheetId="2" hidden="1">2147483647</definedName>
    <definedName name="solver_nod" localSheetId="6" hidden="1">2147483647</definedName>
    <definedName name="solver_num" localSheetId="2" hidden="1">0</definedName>
    <definedName name="solver_num" localSheetId="4" hidden="1">0</definedName>
    <definedName name="solver_num" localSheetId="6" hidden="1">0</definedName>
    <definedName name="solver_nwt" localSheetId="2" hidden="1">1</definedName>
    <definedName name="solver_nwt" localSheetId="4" hidden="1">1</definedName>
    <definedName name="solver_nwt" localSheetId="6" hidden="1">1</definedName>
    <definedName name="solver_opt" localSheetId="2" hidden="1">'Section 6.4'!$C$92</definedName>
    <definedName name="solver_opt" localSheetId="4" hidden="1">'Section 6.5'!#REF!</definedName>
    <definedName name="solver_opt" localSheetId="6" hidden="1">Solution!$C$89</definedName>
    <definedName name="solver_pre" localSheetId="2" hidden="1">0.000001</definedName>
    <definedName name="solver_pre" localSheetId="4" hidden="1">0.000001</definedName>
    <definedName name="solver_pre" localSheetId="6" hidden="1">0.000001</definedName>
    <definedName name="solver_rbv" localSheetId="2" hidden="1">1</definedName>
    <definedName name="solver_rbv" localSheetId="6" hidden="1">1</definedName>
    <definedName name="solver_rlx" localSheetId="2" hidden="1">1</definedName>
    <definedName name="solver_rlx" localSheetId="6" hidden="1">1</definedName>
    <definedName name="solver_rsd" localSheetId="2" hidden="1">0</definedName>
    <definedName name="solver_rsd" localSheetId="6" hidden="1">0</definedName>
    <definedName name="solver_scl" localSheetId="2" hidden="1">2</definedName>
    <definedName name="solver_scl" localSheetId="4" hidden="1">2</definedName>
    <definedName name="solver_scl" localSheetId="6" hidden="1">2</definedName>
    <definedName name="solver_sho" localSheetId="2" hidden="1">2</definedName>
    <definedName name="solver_sho" localSheetId="4" hidden="1">2</definedName>
    <definedName name="solver_sho" localSheetId="6" hidden="1">2</definedName>
    <definedName name="solver_ssz" localSheetId="2" hidden="1">100</definedName>
    <definedName name="solver_ssz" localSheetId="6" hidden="1">100</definedName>
    <definedName name="solver_tim" localSheetId="2" hidden="1">100</definedName>
    <definedName name="solver_tim" localSheetId="4" hidden="1">100</definedName>
    <definedName name="solver_tim" localSheetId="6" hidden="1">100</definedName>
    <definedName name="solver_tol" localSheetId="2" hidden="1">0.05</definedName>
    <definedName name="solver_tol" localSheetId="4" hidden="1">0.05</definedName>
    <definedName name="solver_tol" localSheetId="6" hidden="1">0.05</definedName>
    <definedName name="solver_typ" localSheetId="2" hidden="1">3</definedName>
    <definedName name="solver_typ" localSheetId="4" hidden="1">3</definedName>
    <definedName name="solver_typ" localSheetId="6" hidden="1">3</definedName>
    <definedName name="solver_val" localSheetId="2" hidden="1">0</definedName>
    <definedName name="solver_val" localSheetId="4" hidden="1">0</definedName>
    <definedName name="solver_val" localSheetId="6" hidden="1">0</definedName>
    <definedName name="solver_ver" localSheetId="2" hidden="1">3</definedName>
    <definedName name="solver_ver" localSheetId="6" hidden="1">3</definedName>
  </definedNames>
  <calcPr calcId="162913"/>
</workbook>
</file>

<file path=xl/calcChain.xml><?xml version="1.0" encoding="utf-8"?>
<calcChain xmlns="http://schemas.openxmlformats.org/spreadsheetml/2006/main">
  <c r="D129" i="8" l="1"/>
  <c r="D83" i="3" l="1"/>
  <c r="E14" i="13"/>
  <c r="B52" i="3" l="1"/>
  <c r="C22" i="15" l="1"/>
  <c r="F64" i="13" l="1"/>
  <c r="F63" i="13"/>
  <c r="E64" i="13"/>
  <c r="E63" i="13"/>
  <c r="D62" i="13"/>
  <c r="B56" i="13"/>
  <c r="F48" i="13"/>
  <c r="F47" i="13"/>
  <c r="E48" i="13"/>
  <c r="E47" i="13"/>
  <c r="D46" i="13"/>
  <c r="B51" i="13"/>
  <c r="B67" i="13" s="1"/>
  <c r="C18" i="13"/>
  <c r="B72" i="13" s="1"/>
  <c r="F14" i="13"/>
  <c r="F49" i="13" s="1"/>
  <c r="F53" i="13" s="1"/>
  <c r="E65" i="13"/>
  <c r="E69" i="13" s="1"/>
  <c r="F50" i="13" l="1"/>
  <c r="F51" i="13" s="1"/>
  <c r="F52" i="13" s="1"/>
  <c r="F54" i="13" s="1"/>
  <c r="E49" i="13"/>
  <c r="E53" i="13" s="1"/>
  <c r="F65" i="13"/>
  <c r="F69" i="13" s="1"/>
  <c r="E50" i="13"/>
  <c r="E66" i="13"/>
  <c r="E67" i="13" s="1"/>
  <c r="E68" i="13" s="1"/>
  <c r="E70" i="13" s="1"/>
  <c r="F66" i="13" l="1"/>
  <c r="F67" i="13" s="1"/>
  <c r="F68" i="13" s="1"/>
  <c r="F70" i="13" s="1"/>
  <c r="C72" i="13" s="1"/>
  <c r="E51" i="13"/>
  <c r="E52" i="13" s="1"/>
  <c r="E54" i="13" s="1"/>
  <c r="C56" i="13" s="1"/>
  <c r="I102" i="3"/>
  <c r="I101" i="3"/>
  <c r="I100" i="3"/>
  <c r="I99" i="3"/>
  <c r="I98" i="3"/>
  <c r="I97" i="3"/>
  <c r="H97" i="3"/>
  <c r="I96" i="3"/>
  <c r="H96" i="3"/>
  <c r="I95" i="3"/>
  <c r="H95" i="3"/>
  <c r="I94" i="3"/>
  <c r="H94" i="3"/>
  <c r="I93" i="3"/>
  <c r="H93" i="3"/>
  <c r="I92" i="3"/>
  <c r="H92" i="3"/>
  <c r="G92" i="3"/>
  <c r="I91" i="3"/>
  <c r="H91" i="3"/>
  <c r="G91" i="3"/>
  <c r="I90" i="3"/>
  <c r="H90" i="3"/>
  <c r="G90" i="3"/>
  <c r="I89" i="3"/>
  <c r="H89" i="3"/>
  <c r="G89" i="3"/>
  <c r="F89" i="3"/>
  <c r="I88" i="3"/>
  <c r="H88" i="3"/>
  <c r="G88" i="3"/>
  <c r="F88" i="3"/>
  <c r="I87" i="3"/>
  <c r="H87" i="3"/>
  <c r="G87" i="3"/>
  <c r="F87" i="3"/>
  <c r="E87" i="3"/>
  <c r="I86" i="3"/>
  <c r="H86" i="3"/>
  <c r="G86" i="3"/>
  <c r="F86" i="3"/>
  <c r="E86" i="3"/>
  <c r="I85" i="3"/>
  <c r="H85" i="3"/>
  <c r="G85" i="3"/>
  <c r="F85" i="3"/>
  <c r="E85" i="3"/>
  <c r="D85" i="3"/>
  <c r="I84" i="3"/>
  <c r="H84" i="3"/>
  <c r="G84" i="3"/>
  <c r="F84" i="3"/>
  <c r="E84" i="3"/>
  <c r="D84" i="3"/>
  <c r="I83" i="3"/>
  <c r="H83" i="3"/>
  <c r="G83" i="3"/>
  <c r="F83" i="3"/>
  <c r="E83" i="3"/>
  <c r="I82" i="3"/>
  <c r="H82" i="3"/>
  <c r="G82" i="3"/>
  <c r="F82" i="3"/>
  <c r="E82" i="3"/>
  <c r="D82" i="3"/>
  <c r="D65" i="3"/>
  <c r="I64" i="3"/>
  <c r="D64" i="3"/>
  <c r="D63" i="3"/>
  <c r="D42" i="3"/>
  <c r="D36" i="3"/>
  <c r="D30" i="3"/>
  <c r="E30" i="3" s="1"/>
  <c r="D28" i="3"/>
  <c r="D29" i="3" s="1"/>
  <c r="D37" i="3" s="1"/>
  <c r="E36" i="3" s="1"/>
  <c r="H25" i="3"/>
  <c r="H50" i="3" s="1"/>
  <c r="G25" i="3"/>
  <c r="G50" i="3" s="1"/>
  <c r="F25" i="3"/>
  <c r="F50" i="3" s="1"/>
  <c r="E25" i="3"/>
  <c r="E50" i="3" s="1"/>
  <c r="D25" i="3"/>
  <c r="D26" i="3" s="1"/>
  <c r="D66" i="3" l="1"/>
  <c r="D38" i="3"/>
  <c r="E65" i="3" s="1"/>
  <c r="D50" i="3"/>
  <c r="D48" i="3"/>
  <c r="E59" i="3" s="1"/>
  <c r="D27" i="3"/>
  <c r="E26" i="3"/>
  <c r="E31" i="3"/>
  <c r="E49" i="3" s="1"/>
  <c r="F60" i="3" s="1"/>
  <c r="F30" i="3"/>
  <c r="G30" i="3" s="1"/>
  <c r="H30" i="3" s="1"/>
  <c r="H31" i="3" s="1"/>
  <c r="H49" i="3" s="1"/>
  <c r="I60" i="3" s="1"/>
  <c r="D31" i="3"/>
  <c r="D49" i="3" s="1"/>
  <c r="E60" i="3" s="1"/>
  <c r="E28" i="3"/>
  <c r="F31" i="3" l="1"/>
  <c r="F49" i="3" s="1"/>
  <c r="G60" i="3" s="1"/>
  <c r="D51" i="3"/>
  <c r="G31" i="3"/>
  <c r="G49" i="3" s="1"/>
  <c r="H60" i="3" s="1"/>
  <c r="E29" i="3"/>
  <c r="F28" i="3"/>
  <c r="E27" i="3"/>
  <c r="F26" i="3"/>
  <c r="E37" i="3" l="1"/>
  <c r="E48" i="3"/>
  <c r="D52" i="3"/>
  <c r="E61" i="3" s="1"/>
  <c r="E62" i="3" s="1"/>
  <c r="E66" i="3" s="1"/>
  <c r="G26" i="3"/>
  <c r="F27" i="3"/>
  <c r="G28" i="3"/>
  <c r="F29" i="3"/>
  <c r="D53" i="3" l="1"/>
  <c r="E51" i="3"/>
  <c r="E52" i="3" s="1"/>
  <c r="F59" i="3"/>
  <c r="F36" i="3"/>
  <c r="E38" i="3"/>
  <c r="F65" i="3" s="1"/>
  <c r="F37" i="3"/>
  <c r="G36" i="3" s="1"/>
  <c r="F48" i="3"/>
  <c r="H28" i="3"/>
  <c r="H29" i="3" s="1"/>
  <c r="H48" i="3" s="1"/>
  <c r="G29" i="3"/>
  <c r="H26" i="3"/>
  <c r="H27" i="3" s="1"/>
  <c r="D43" i="3" s="1"/>
  <c r="D44" i="3" s="1"/>
  <c r="I63" i="3" s="1"/>
  <c r="G27" i="3"/>
  <c r="H51" i="3" l="1"/>
  <c r="H52" i="3" s="1"/>
  <c r="I59" i="3"/>
  <c r="E53" i="3"/>
  <c r="F61" i="3"/>
  <c r="F62" i="3" s="1"/>
  <c r="F66" i="3" s="1"/>
  <c r="F51" i="3"/>
  <c r="F52" i="3" s="1"/>
  <c r="G59" i="3"/>
  <c r="F38" i="3"/>
  <c r="G65" i="3" s="1"/>
  <c r="G37" i="3"/>
  <c r="H36" i="3" s="1"/>
  <c r="H38" i="3" s="1"/>
  <c r="I65" i="3" s="1"/>
  <c r="G48" i="3"/>
  <c r="F53" i="3" l="1"/>
  <c r="G61" i="3"/>
  <c r="G62" i="3" s="1"/>
  <c r="G66" i="3" s="1"/>
  <c r="H53" i="3"/>
  <c r="I61" i="3"/>
  <c r="I62" i="3" s="1"/>
  <c r="I66" i="3" s="1"/>
  <c r="G51" i="3"/>
  <c r="G52" i="3" s="1"/>
  <c r="H59" i="3"/>
  <c r="G38" i="3"/>
  <c r="H65" i="3" s="1"/>
  <c r="D20" i="8"/>
  <c r="D19" i="8"/>
  <c r="C20" i="8"/>
  <c r="C19" i="8"/>
  <c r="G85" i="8"/>
  <c r="C85" i="8"/>
  <c r="C86" i="8"/>
  <c r="D77" i="8"/>
  <c r="D76" i="8"/>
  <c r="F66" i="8"/>
  <c r="F70" i="8" s="1"/>
  <c r="E66" i="8"/>
  <c r="E70" i="8" s="1"/>
  <c r="D66" i="8"/>
  <c r="D70" i="8" s="1"/>
  <c r="F65" i="8"/>
  <c r="E65" i="8"/>
  <c r="D65" i="8"/>
  <c r="F63" i="8"/>
  <c r="E63" i="8"/>
  <c r="D63" i="8"/>
  <c r="C66" i="8"/>
  <c r="C70" i="8" s="1"/>
  <c r="C65" i="8"/>
  <c r="C63" i="8"/>
  <c r="C64" i="8" s="1"/>
  <c r="B68" i="8"/>
  <c r="G53" i="3" l="1"/>
  <c r="H61" i="3"/>
  <c r="H62" i="3" s="1"/>
  <c r="H66" i="3" s="1"/>
  <c r="C87" i="8"/>
  <c r="D21" i="8"/>
  <c r="D22" i="8" s="1"/>
  <c r="D23" i="8" s="1"/>
  <c r="D28" i="8" s="1"/>
  <c r="D32" i="8" s="1"/>
  <c r="D36" i="8" s="1"/>
  <c r="C21" i="8"/>
  <c r="C22" i="8" s="1"/>
  <c r="C23" i="8" s="1"/>
  <c r="C28" i="8" s="1"/>
  <c r="C32" i="8" s="1"/>
  <c r="C36" i="8" s="1"/>
  <c r="D78" i="8"/>
  <c r="G86" i="8" s="1"/>
  <c r="C67" i="8"/>
  <c r="C68" i="8" s="1"/>
  <c r="C69" i="8" s="1"/>
  <c r="C71" i="8" s="1"/>
  <c r="D84" i="8" s="1"/>
  <c r="D87" i="8" s="1"/>
  <c r="D64" i="8"/>
  <c r="D67" i="8" s="1"/>
  <c r="E64" i="8"/>
  <c r="E67" i="8" s="1"/>
  <c r="F64" i="8"/>
  <c r="F67" i="8" s="1"/>
  <c r="C70" i="3" l="1"/>
  <c r="B72" i="3"/>
  <c r="C72" i="3" s="1"/>
  <c r="C71" i="3"/>
  <c r="C73" i="3"/>
  <c r="C69" i="3"/>
  <c r="A38" i="8"/>
  <c r="F68" i="8"/>
  <c r="F69" i="8" s="1"/>
  <c r="F71" i="8" s="1"/>
  <c r="G84" i="8" s="1"/>
  <c r="G87" i="8" s="1"/>
  <c r="E68" i="8"/>
  <c r="E69" i="8" s="1"/>
  <c r="E71" i="8" s="1"/>
  <c r="F84" i="8" s="1"/>
  <c r="F87" i="8" s="1"/>
  <c r="D68" i="8"/>
  <c r="D69" i="8" s="1"/>
  <c r="D71" i="8" s="1"/>
  <c r="E84" i="8" s="1"/>
  <c r="E87" i="8" s="1"/>
  <c r="C92" i="8" l="1"/>
</calcChain>
</file>

<file path=xl/sharedStrings.xml><?xml version="1.0" encoding="utf-8"?>
<sst xmlns="http://schemas.openxmlformats.org/spreadsheetml/2006/main" count="343" uniqueCount="234">
  <si>
    <t xml:space="preserve">NOTE: Some functions used in these spreadsheets may require that </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</si>
  <si>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</si>
  <si>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</si>
  <si>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</si>
  <si>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</si>
  <si>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</si>
  <si>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</si>
  <si>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</si>
  <si>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Variable costs</t>
  </si>
  <si>
    <t>Fixed costs</t>
  </si>
  <si>
    <t>Depreciation</t>
  </si>
  <si>
    <t>EBIT</t>
  </si>
  <si>
    <t>Net income</t>
  </si>
  <si>
    <t>Year</t>
  </si>
  <si>
    <t>+ Depreciation</t>
  </si>
  <si>
    <t>Operating cash flow</t>
  </si>
  <si>
    <t>Capital spending</t>
  </si>
  <si>
    <t>NPV</t>
  </si>
  <si>
    <t>IRR</t>
  </si>
  <si>
    <t>Net working capital</t>
  </si>
  <si>
    <t>Aftertax salvage value:</t>
  </si>
  <si>
    <t>Price</t>
  </si>
  <si>
    <t>Variable cost</t>
  </si>
  <si>
    <t>Equipment</t>
  </si>
  <si>
    <t>Tax rate</t>
  </si>
  <si>
    <t>Required return</t>
  </si>
  <si>
    <t>Revenues</t>
  </si>
  <si>
    <t>OCF</t>
  </si>
  <si>
    <t>RWJ Excel Tip</t>
  </si>
  <si>
    <t>Initial NWC</t>
  </si>
  <si>
    <t>NWC cash flow</t>
  </si>
  <si>
    <t>To find the aftertax salvage value, we need to calculate the taxes. We get:</t>
  </si>
  <si>
    <t>Change in NWC</t>
  </si>
  <si>
    <t>Total cash flow</t>
  </si>
  <si>
    <t>Units per year</t>
  </si>
  <si>
    <t>VC as a percentage of sales</t>
  </si>
  <si>
    <t>MACRS Year 1</t>
  </si>
  <si>
    <t>MACRS Year 2</t>
  </si>
  <si>
    <t>MACRS Year 3</t>
  </si>
  <si>
    <t>MACRS Year 4</t>
  </si>
  <si>
    <t>Immediate NWC</t>
  </si>
  <si>
    <t>Pretax salvage value</t>
  </si>
  <si>
    <t>Price per unit</t>
  </si>
  <si>
    <t>Operating cost</t>
  </si>
  <si>
    <t>Life (years)</t>
  </si>
  <si>
    <t>Discount rate</t>
  </si>
  <si>
    <t>Filtration
system</t>
  </si>
  <si>
    <t>Precipitation
system</t>
  </si>
  <si>
    <t>We can calculate the NPV of each project as:</t>
  </si>
  <si>
    <t>Tax</t>
  </si>
  <si>
    <t>So, using the bottom-up approach, the OCF for each alternative is:</t>
  </si>
  <si>
    <t>Using the PMT function to find the EAC, we get:</t>
  </si>
  <si>
    <t>EAC</t>
  </si>
  <si>
    <t>As you see, with Solver you first enter the target cell you would like to set to a specific value, in this case, the NPV cell. Since the lowest bid price is the price that results in a zero NPV, we chose to set the NPV cell equal to a value of zero. Next, we select the cell we would like to change in order to set the target cell equal to the value we chose. In this case, we changed the unit price cell. This is why the original value we entered for the unit price is irrelevant: Solver will change the value when it solves the problem. Note that after we used Solver, we restored the original value. On the next worksheet, you can see the answer report generated by Solver. In this case, the bid price that results in a zero NPV is:</t>
  </si>
  <si>
    <t>Minimum bid price:</t>
  </si>
  <si>
    <t>Pro Forma Income Statements</t>
  </si>
  <si>
    <t>Project Cash Flows</t>
  </si>
  <si>
    <t>Income Statements</t>
  </si>
  <si>
    <t>To use Solver, go to the Data tab, then click Solver. The inputs we used for this problem are:</t>
  </si>
  <si>
    <t>Cell</t>
  </si>
  <si>
    <t>Name</t>
  </si>
  <si>
    <t>Original Value</t>
  </si>
  <si>
    <t>Final Value</t>
  </si>
  <si>
    <t>Constraints</t>
  </si>
  <si>
    <t>NPV: Project Cash Flows</t>
  </si>
  <si>
    <t>2) Uncheck the Solver add-in and click OK.</t>
  </si>
  <si>
    <t>4) Check the Solver add-in and select OK.</t>
  </si>
  <si>
    <t>The minimum bid price is the price at which the NPV of the project is zero. We can use Solver to find this unit price (and much more.)</t>
  </si>
  <si>
    <t>We restored the original unit price so you could use Solver on this problem for practice.</t>
  </si>
  <si>
    <t>Equipment Life (Years)</t>
  </si>
  <si>
    <r>
      <t>NOTE:</t>
    </r>
    <r>
      <rPr>
        <sz val="12"/>
        <rFont val="Calibri"/>
        <family val="2"/>
        <scheme val="minor"/>
      </rPr>
      <t xml:space="preserve"> There is a bug in Solver that will occur occasionally. In some cases, Solver will not launch, or if you try to save one or more of the reports, you may see "Solver: An unexpected internal error or available memory was exhausted" pop up. In this case, the solution is to uninstall Solver and re-install it. To do this:</t>
    </r>
  </si>
  <si>
    <t>We entered a price in the appropriate cell above. As we will show later, it does not really matter what price we entered. Next, we need to calculate the cash flows and NPV for the project with our hypothetical price. This will be:</t>
  </si>
  <si>
    <t>a.</t>
  </si>
  <si>
    <t>b.</t>
  </si>
  <si>
    <t>c.</t>
  </si>
  <si>
    <t>d.</t>
  </si>
  <si>
    <t>What is the IRR of the project?</t>
  </si>
  <si>
    <t>What is the NPV of the project?</t>
  </si>
  <si>
    <t>What is the profitability index of the project?</t>
  </si>
  <si>
    <t>e.</t>
  </si>
  <si>
    <t>Year 1</t>
  </si>
  <si>
    <t>Year 2</t>
  </si>
  <si>
    <t>Year 3</t>
  </si>
  <si>
    <t>Year 4</t>
  </si>
  <si>
    <t>Year 5</t>
  </si>
  <si>
    <t>EBT</t>
  </si>
  <si>
    <t>Taxes</t>
  </si>
  <si>
    <t>Profitability index</t>
  </si>
  <si>
    <t>Cash flow</t>
  </si>
  <si>
    <t>To construct the MACRS table, we used the variable declining balance (VDB) function. Constructing the MACRS table is tricky because of the half-year convention. Below you will see what we entered for the second year of the three-year MACRS schedule.</t>
  </si>
  <si>
    <t>The total cash flows for each year of the project are:</t>
  </si>
  <si>
    <t>Finally, the NPV of the project at this unit price is:</t>
  </si>
  <si>
    <t>by Brad Jordan and Joe Smolira</t>
  </si>
  <si>
    <t xml:space="preserve">"Go." Check "Analysis ToolPak" and </t>
  </si>
  <si>
    <t>The inputs are Cost, which is the initial cost, Salvage, which is the salvage value, and Life, which is the life of the asset. In general, we usually find it easier just to divide the cost by the life of the equipment in the cell rather than use this particular function, but it is available if you prefer.</t>
  </si>
  <si>
    <t>Cost is the cost of the equipment. In this case, we entered one in order to get the answers as a percentage rather than a dollar amount. Salvage is the salvage value, which is zero. Life is the life of the asset. Since we have a table here, we entered the column as a floating input and locked the row. This allows us to copy and paste the formula further down the table was well as across. The Start_period is the starting period for which we want to calculate the depreciation. With the half-year convention, we used the year and subtracted 1/2. To calculate the End_period, we used the MIN function. This function will return the lesser of the next year minus one-half, or the life of the asset. In most years we could have taken the next year minus one-half, but this would not work for the last year. Notice that this MIN function will not work for the first year since there is no prior year. So, for the first year, we eliminated the MIN function. Finally, the Factor is not shown on the picture above since Excel scrolls through the inputs in this case. We used a factor of two for the three-, five-, seven-, and 10-year schedules and a factor of 1.5 for the 15- and 20-year schedules.</t>
  </si>
  <si>
    <t>Chapter 6 - Section 2</t>
  </si>
  <si>
    <t>The Baldwin Company: An Example</t>
  </si>
  <si>
    <t>Because capital budgeting requires numerous repetitive cash flows, it is an ideal application for Excel. When doing a capital budgeting problem, as in most Excel uses, you should do few or no calculations on your own, but rather let Excel do the calculations for you. We will begin with the Baldwin Company project. We have the following projections for the project:</t>
  </si>
  <si>
    <t>Inflation rate</t>
  </si>
  <si>
    <t xml:space="preserve">Cost of machine </t>
  </si>
  <si>
    <t>We will start off with some preliminary work, including the depreciation each year, sales price, and unit costs:</t>
  </si>
  <si>
    <t>Accumulated depreciation</t>
  </si>
  <si>
    <t>Adjusted basis of machine</t>
  </si>
  <si>
    <t>Sales revenue</t>
  </si>
  <si>
    <t>Cost per unit</t>
  </si>
  <si>
    <t>Operating costs</t>
  </si>
  <si>
    <t xml:space="preserve">  End of year NWC</t>
  </si>
  <si>
    <t xml:space="preserve">  Beginning NWC</t>
  </si>
  <si>
    <t>The change in net working capital for each year is the beginning net working capital for each year minus the net working capital investment at the end of the year. So, the change in net working capital each year is:</t>
  </si>
  <si>
    <t>Income before taxes</t>
  </si>
  <si>
    <t>Now we can calculate the pro forma income statement for each year (Table 6.1), which will be:</t>
  </si>
  <si>
    <t>With this, the incremental cash flows each year, NPV for different interest rates, and IRR for the project are (Table 6.4):</t>
  </si>
  <si>
    <t>The machine will have a salvage value at the end of the project, but we are concerned with the aftertax salvage value, which is:</t>
  </si>
  <si>
    <t>Taxes on sale</t>
  </si>
  <si>
    <t>Aftertax salvage value</t>
  </si>
  <si>
    <t>Cash flow from operations</t>
  </si>
  <si>
    <t>Year 0</t>
  </si>
  <si>
    <t>Bowling ball machine</t>
  </si>
  <si>
    <t>Warehouse</t>
  </si>
  <si>
    <t>Total cash flow of project</t>
  </si>
  <si>
    <t>A Note about Depreciation</t>
  </si>
  <si>
    <t>Inflation and Capital Budgeting</t>
  </si>
  <si>
    <t xml:space="preserve">With these projections, we can generate the following nominal cash flows and NPV: </t>
  </si>
  <si>
    <t>Capital expenditures</t>
  </si>
  <si>
    <t>Expenses</t>
  </si>
  <si>
    <t>Taxable income</t>
  </si>
  <si>
    <t>Income after taxes</t>
  </si>
  <si>
    <t>We can also use real cash flows, which will be:</t>
  </si>
  <si>
    <t>Chapter 6 - Section 5</t>
  </si>
  <si>
    <t>Setting a Bid Price: A Capital Budgeting Extension</t>
  </si>
  <si>
    <t>We are bidding on the following project. The contract will last for four years, and the equipment will be depreciated on a three-year MACRS schedule. What is the minimum bid price we could submit?</t>
  </si>
  <si>
    <t>$C$92</t>
  </si>
  <si>
    <t>$D$48</t>
  </si>
  <si>
    <t>Price per unit Precipitation
system</t>
  </si>
  <si>
    <t>Chapter 6</t>
  </si>
  <si>
    <t>At what level of variable costs per unit would Goodweek Tires be indifferent to accepting the project?</t>
  </si>
  <si>
    <t>Research and development</t>
  </si>
  <si>
    <t>Test marketing cost</t>
  </si>
  <si>
    <t>Initial equipment cost</t>
  </si>
  <si>
    <t>Equipment salvage value</t>
  </si>
  <si>
    <t>Year 1 depreciation</t>
  </si>
  <si>
    <t>Year 2 depreciation</t>
  </si>
  <si>
    <t>Year 3 depreciation</t>
  </si>
  <si>
    <t>Year 4 depreciation</t>
  </si>
  <si>
    <t>OEM market:</t>
  </si>
  <si>
    <t>Automobile production</t>
  </si>
  <si>
    <t>Growth rate</t>
  </si>
  <si>
    <t>Market share</t>
  </si>
  <si>
    <t>Replacement market:</t>
  </si>
  <si>
    <t>Market sales</t>
  </si>
  <si>
    <t>Price increase above inflation</t>
  </si>
  <si>
    <t>VC increase above inflation</t>
  </si>
  <si>
    <t>Marketing and general costs</t>
  </si>
  <si>
    <t xml:space="preserve">Tax rate </t>
  </si>
  <si>
    <t>NWC percentage of sales</t>
  </si>
  <si>
    <t>Nominal price increase</t>
  </si>
  <si>
    <t>Nominal VC increase</t>
  </si>
  <si>
    <t>OEM:</t>
  </si>
  <si>
    <t xml:space="preserve">Automobiles sold </t>
  </si>
  <si>
    <t>Tires for automobiles sold</t>
  </si>
  <si>
    <t>SuperTread tires sold</t>
  </si>
  <si>
    <t>Total tires sold in market</t>
  </si>
  <si>
    <t>Revenue:</t>
  </si>
  <si>
    <t>OEM market</t>
  </si>
  <si>
    <t>Replacement market</t>
  </si>
  <si>
    <t>Total</t>
  </si>
  <si>
    <t>Variable costs:</t>
  </si>
  <si>
    <t>Revenue</t>
  </si>
  <si>
    <t>New working capital:</t>
  </si>
  <si>
    <t xml:space="preserve">Beginning </t>
  </si>
  <si>
    <t>Ending</t>
  </si>
  <si>
    <t>Book value of equipment</t>
  </si>
  <si>
    <t>Market value</t>
  </si>
  <si>
    <t>Total cash flows</t>
  </si>
  <si>
    <t>When dealing with any cash flows, it is irrelevant whether you use real cash flows with the real interest rate or nominal cash flows with the nominal interest rate, the present value will always be the same.</t>
  </si>
  <si>
    <t>There are actually six MACRS schedules: three-, five-, seven-, 10-, 15-, and 20-year schedules. The MACRS schedule is calculated using the depreciation according to the double declining balance method, and switching to straight-line depreciation when it is more advantageous. The three-, five-, seven-, and 10-year schedules use a factor of 2 (200%) when calculating the double declining balance depreciation amount, while the 15- and 20-year schedules use a factor of 1.5 (150%). Excel has a function, VDB, which can be used to construct a MACRS table. Below, we have constructed a MACRS table with all six schedules.</t>
  </si>
  <si>
    <t>Finally, note that the MACRS schedule we calculated can vary slightly from the table presented in the textbook. The reason is that the IRS publishes a MACRS schedule, which is the schedule we used in the textbook. However, you are allowed to calculate the schedule on your own based on the rules outlined by the IRS. If you do so, you will get the table above, not the table in the textbook (or the table published by the IRS!). In the future, we will use the table in the textbook for our calculations.</t>
  </si>
  <si>
    <t>To find the equivalent annual cost (EAC), we find the net present value of the project, then find the annuity that represents the annual cost based on the life of the project. Suppose we have two different options for a pollution control system, a filtration system or a precipitation system. The relevant numbers for each alternative are:</t>
  </si>
  <si>
    <t>At what OEM price would Goodweek Tires be indifferent to accepting the project? Assume the replacement market price is constant.</t>
  </si>
  <si>
    <t>Nominal Cash Flows</t>
  </si>
  <si>
    <t>Real Cash Flows</t>
  </si>
  <si>
    <t>Result: Solver found a solution.  All Constraints and optimality conditions are satisfied.</t>
  </si>
  <si>
    <t>Solver Engine</t>
  </si>
  <si>
    <t>Engine: GRG Nonlinear</t>
  </si>
  <si>
    <t>Iterations: 1 Subproblems: 0</t>
  </si>
  <si>
    <t>Solver Options</t>
  </si>
  <si>
    <t>Max Time 100 sec,  Iterations 100, Precision 0.000001</t>
  </si>
  <si>
    <t xml:space="preserve"> Convergence 0.0001, Population Size 100, Random Seed 0, Derivatives Forward, Require Bounds</t>
  </si>
  <si>
    <t>Max Subproblems Unlimited, Max Integer Sols Unlimited, Integer Tolerance 5%, Solve Without Integer Constraints</t>
  </si>
  <si>
    <t>Objective Cell (Value Of)</t>
  </si>
  <si>
    <t>Variable Cells</t>
  </si>
  <si>
    <t>Integer</t>
  </si>
  <si>
    <t>Cell Value</t>
  </si>
  <si>
    <t>Formula</t>
  </si>
  <si>
    <t>Status</t>
  </si>
  <si>
    <t>Slack</t>
  </si>
  <si>
    <t>Contin</t>
  </si>
  <si>
    <t>$C$92=0</t>
  </si>
  <si>
    <t>Binding</t>
  </si>
  <si>
    <t>Master It! Solution</t>
  </si>
  <si>
    <r>
      <t xml:space="preserve">Ross, Westerfield, Jaffe, and Jordan's </t>
    </r>
    <r>
      <rPr>
        <b/>
        <i/>
        <sz val="12"/>
        <color rgb="FF000000"/>
        <rFont val="Calibri"/>
        <family val="2"/>
        <scheme val="minor"/>
      </rPr>
      <t>Spreadsheet Master</t>
    </r>
  </si>
  <si>
    <t>To install these, click on the File tab</t>
  </si>
  <si>
    <t>Example 6.11: Real and Nominal NPV</t>
  </si>
  <si>
    <t>Microsoft Excel 15.0 Answer Report</t>
  </si>
  <si>
    <t>Worksheet: [CF 12th edition Chapter 06 Excel Master.xlsx]Section 6.5</t>
  </si>
  <si>
    <t>Solution Time: 0 Seconds.</t>
  </si>
  <si>
    <t>Chapter 6 - Section 4</t>
  </si>
  <si>
    <t>Suppose the company you work for is entering a competitive bidding process for a new project. How do you determine the minimum bid price you would be willing to put in for the project? We know that you would not want to lose money on the project from a financial perspective. From our capital budgeting discussion, we know that if the project has a zero NPV, we make exactly the required return on the project. So, the minimum bid price we should submit is the price that results in a zero NPV. Since we know all of the cash flows of the project such as the initial investment, salvage value, net working capital, etc., we can set up the cash flows we know and back into the price that results in a zero NPV. While doing this by hand is possible, it can often result in tedious calculations. Fortunately, Excel has a built-in function that will make the process much easier.</t>
  </si>
  <si>
    <t>1) Go to the File tab on the top left, click Excel options, choose Add-Ins, select Excel Add-Ins in the pulldown menu near the bottom of the box, and click on Go.</t>
  </si>
  <si>
    <t>3) Go to the File tab on the top left, click Excel options, choose Add-Ins, select Excel Add-Ins in the pulldown menu near the bottom of the box, and click on Go. This is a repeat of Step 1.</t>
  </si>
  <si>
    <t>To calculate the depreciation each year for straight-line depreciation, we can divide the initial cost by the life of the equipment, or we can use the built-in Excel function SLN as we have done here. The SLN we used in this case looks like this:</t>
  </si>
  <si>
    <t>Chapter 6 - Master It!</t>
  </si>
  <si>
    <r>
      <t xml:space="preserve">Corporate Finance, </t>
    </r>
    <r>
      <rPr>
        <b/>
        <sz val="12"/>
        <color rgb="FF000000"/>
        <rFont val="Calibri"/>
        <family val="2"/>
        <scheme val="minor"/>
      </rPr>
      <t>13th edition</t>
    </r>
  </si>
  <si>
    <t>Version 13.0</t>
  </si>
  <si>
    <t>Units sold per year</t>
  </si>
  <si>
    <t>Price per unit for Year 1</t>
  </si>
  <si>
    <t>Price increase per year</t>
  </si>
  <si>
    <t>Unit production cost for Year 1</t>
  </si>
  <si>
    <t>Increase in unit cost per year</t>
  </si>
  <si>
    <t>NWC to start project</t>
  </si>
  <si>
    <t>NWC for subsequent years (as % of sales)</t>
  </si>
  <si>
    <t>Depreciation rate</t>
  </si>
  <si>
    <t>Cost of warehouse</t>
  </si>
  <si>
    <t>Now, we can calculate the PV of costs for each project:</t>
  </si>
  <si>
    <t>Some Special Cases of Discounted Cash Flow Analysis</t>
  </si>
  <si>
    <t>Report Created: 10/19/2021 4:54:40 PM</t>
  </si>
  <si>
    <t>Revenues (real terms)</t>
  </si>
  <si>
    <t>Cash expenses (real terms)</t>
  </si>
  <si>
    <t>Nominal rate</t>
  </si>
  <si>
    <t>Real rate</t>
  </si>
  <si>
    <t>Inflation should always be considered in any long-term project. As long as inflation is correctly handled, the NPV of the project will be the same. For example, consider the project proposed by Altshuler, Inc.</t>
  </si>
  <si>
    <t>Altshuler, Inc., has generated the following forecast for a capital budgeting project. David Altshuler prefers to work in nominal terms, while Marissunta Giannetti prefers real cash flows. Whose approach is correct?</t>
  </si>
  <si>
    <t>For this Master It! assignment, refer to the Goodweek Tires, Inc., case at the end of Chapter 6. For your convenience, we have entered the relevant values in the case such as the price, variable cost, etc. on the next page. For this project, answer the following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</si>
</sst>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_(&quot;$&quot;* \(#,##0.00\);_(&quot;$&quot;* &quot;-&quot;_);_(@_)"/>
    <numFmt numFmtId="165" formatCode="_(&quot;$&quot;* #,##0_);_(&quot;$&quot;* \(#,##0\);_(&quot;$&quot;* &quot;-&quot;??_);_(@_)"/>
    <numFmt numFmtId="166" formatCode="_(* #,##0_);_(* \(#,##0\);_(* &quot;-&quot;??_);_(@_)"/>
    <numFmt numFmtId="167" formatCode="0.0%"/>
    <numFmt numFmtId="168" formatCode="#,##0.0000_);[Red]\(#,##0.0000\)"/>
    <numFmt numFmtId="169" formatCode="_(&quot;$&quot;* #,##0.0_);_(&quot;$&quot;* \(#,##0.0\);_(&quot;$&quot;* &quot;-&quot;?_);_(@_)"/>
  </numFmts>
  <fonts count="43" x14ac:knownFonts="1">
    <font>
      <sz val="11"/>
      <color theme="1"/>
      <name val="Calibri"/>
      <family val="2"/>
      <scheme val="minor"/>
    </font>
    <font>
      <sz val="10"/>
      <name val="Arial"/>
      <family val="2"/>
    </font>
    <font>
      <b/>
      <sz val="14"/>
      <color theme="0"/>
      <name val="Calibri"/>
      <family val="2"/>
      <scheme val="minor"/>
    </font>
    <font>
      <sz val="12"/>
      <color theme="1"/>
      <name val="Calibri"/>
      <family val="2"/>
      <scheme val="minor"/>
    </font>
    <font>
      <b/>
      <sz val="12"/>
      <color theme="1"/>
      <name val="Calibri"/>
      <family val="2"/>
      <scheme val="minor"/>
    </font>
    <font>
      <sz val="16"/>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sz val="11"/>
      <color theme="1"/>
      <name val="Calibri"/>
      <family val="2"/>
      <scheme val="minor"/>
    </font>
    <font>
      <sz val="12"/>
      <color rgb="FF0000FF"/>
      <name val="Calibri"/>
      <family val="2"/>
      <scheme val="minor"/>
    </font>
    <font>
      <sz val="12"/>
      <color rgb="FFFF0000"/>
      <name val="Calibri"/>
      <family val="2"/>
      <scheme val="minor"/>
    </font>
    <font>
      <sz val="12"/>
      <name val="Calibri"/>
      <family val="2"/>
      <scheme val="minor"/>
    </font>
    <font>
      <b/>
      <i/>
      <sz val="12"/>
      <color theme="1"/>
      <name val="Calibri"/>
      <family val="2"/>
      <scheme val="minor"/>
    </font>
    <font>
      <b/>
      <sz val="12"/>
      <name val="Calibri"/>
      <family val="2"/>
      <scheme val="minor"/>
    </font>
    <font>
      <i/>
      <sz val="12"/>
      <color theme="1"/>
      <name val="Calibri"/>
      <family val="2"/>
      <scheme val="minor"/>
    </font>
    <font>
      <i/>
      <sz val="12"/>
      <name val="Calibri"/>
      <family val="2"/>
      <scheme val="minor"/>
    </font>
    <font>
      <b/>
      <sz val="11"/>
      <color theme="1"/>
      <name val="Calibri"/>
      <family val="2"/>
      <scheme val="minor"/>
    </font>
    <font>
      <b/>
      <sz val="16"/>
      <color rgb="FF0000CC"/>
      <name val="Calibri"/>
      <family val="2"/>
      <scheme val="minor"/>
    </font>
    <font>
      <sz val="11"/>
      <color rgb="FF0000CC"/>
      <name val="Calibri"/>
      <family val="2"/>
      <scheme val="minor"/>
    </font>
    <font>
      <sz val="12"/>
      <color rgb="FF0000CC"/>
      <name val="Calibri"/>
      <family val="2"/>
      <scheme val="minor"/>
    </font>
    <font>
      <b/>
      <sz val="16"/>
      <color rgb="FF0000CC"/>
      <name val="Calibri"/>
      <family val="2"/>
    </font>
    <font>
      <sz val="16"/>
      <color rgb="FF0000CC"/>
      <name val="Calibri"/>
      <family val="2"/>
      <scheme val="minor"/>
    </font>
    <font>
      <i/>
      <sz val="11"/>
      <color theme="1"/>
      <name val="Calibri"/>
      <family val="2"/>
      <scheme val="minor"/>
    </font>
    <font>
      <sz val="12"/>
      <color indexed="12"/>
      <name val="Calibri"/>
      <family val="2"/>
      <scheme val="minor"/>
    </font>
    <font>
      <sz val="12"/>
      <color indexed="10"/>
      <name val="Calibri"/>
      <family val="2"/>
      <scheme val="minor"/>
    </font>
    <font>
      <b/>
      <sz val="14"/>
      <name val="Arial"/>
      <family val="2"/>
    </font>
    <font>
      <i/>
      <sz val="12"/>
      <name val="Arial"/>
      <family val="2"/>
    </font>
    <font>
      <i/>
      <sz val="12"/>
      <color indexed="8"/>
      <name val="Calibri"/>
      <family val="2"/>
      <scheme val="minor"/>
    </font>
    <font>
      <sz val="12"/>
      <color indexed="48"/>
      <name val="Calibri"/>
      <family val="2"/>
      <scheme val="minor"/>
    </font>
    <font>
      <i/>
      <u/>
      <sz val="12"/>
      <color indexed="8"/>
      <name val="Calibri"/>
      <family val="2"/>
      <scheme val="minor"/>
    </font>
    <font>
      <b/>
      <sz val="11"/>
      <color indexed="18"/>
      <name val="Calibri"/>
      <family val="2"/>
      <scheme val="minor"/>
    </font>
    <font>
      <b/>
      <sz val="14"/>
      <color rgb="FFB80000"/>
      <name val="Calibri"/>
      <family val="2"/>
      <scheme val="minor"/>
    </font>
    <font>
      <b/>
      <sz val="14"/>
      <color rgb="FF0050C7"/>
      <name val="Calibri"/>
      <family val="2"/>
      <scheme val="minor"/>
    </font>
    <font>
      <sz val="12"/>
      <color rgb="FF0050C7"/>
      <name val="Calibri"/>
      <family val="2"/>
      <scheme val="minor"/>
    </font>
    <font>
      <sz val="12"/>
      <color rgb="FFB80000"/>
      <name val="Calibri"/>
      <family val="2"/>
      <scheme val="minor"/>
    </font>
    <font>
      <sz val="11"/>
      <color rgb="FFB80000"/>
      <name val="Calibri"/>
      <family val="2"/>
      <scheme val="minor"/>
    </font>
  </fonts>
  <fills count="10">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
      <patternFill patternType="solid">
        <fgColor rgb="FFCCFFCC"/>
        <bgColor indexed="64"/>
      </patternFill>
    </fill>
    <fill>
      <patternFill patternType="solid">
        <fgColor rgb="FF66CCFF"/>
        <bgColor indexed="64"/>
      </patternFill>
    </fill>
    <fill>
      <patternFill patternType="solid">
        <fgColor rgb="FFCCFFFF"/>
        <bgColor indexed="64"/>
      </patternFill>
    </fill>
  </fills>
  <borders count="23">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medium">
        <color indexed="23"/>
      </top>
      <bottom style="medium">
        <color indexed="23"/>
      </bottom>
      <diagonal/>
    </border>
    <border>
      <left/>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7">
    <xf numFmtId="0" fontId="0" fillId="0" borderId="0"/>
    <xf numFmtId="0" fontId="1" fillId="0" borderId="0"/>
    <xf numFmtId="9" fontId="1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9">
    <xf numFmtId="0" fontId="0" fillId="0" borderId="0" xfId="0"/>
    <xf numFmtId="0" fontId="3" fillId="4" borderId="0" xfId="0" applyFont="1" applyFill="1"/>
    <xf numFmtId="0" fontId="5" fillId="4" borderId="0" xfId="0" applyFont="1" applyFill="1"/>
    <xf numFmtId="0" fontId="6" fillId="2" borderId="0" xfId="1" applyFont="1" applyFill="1"/>
    <xf numFmtId="0" fontId="7" fillId="2" borderId="0" xfId="1" applyFont="1" applyFill="1"/>
    <xf numFmtId="0" fontId="9" fillId="2" borderId="0" xfId="1" applyFont="1" applyFill="1" applyBorder="1"/>
    <xf numFmtId="0" fontId="7" fillId="2" borderId="0" xfId="1" applyFont="1" applyFill="1" applyBorder="1"/>
    <xf numFmtId="0" fontId="6" fillId="5" borderId="0" xfId="1" applyFont="1" applyFill="1" applyBorder="1"/>
    <xf numFmtId="0" fontId="13" fillId="5" borderId="0" xfId="1" applyFont="1" applyFill="1" applyBorder="1"/>
    <xf numFmtId="0" fontId="14" fillId="5" borderId="0" xfId="1" applyFont="1" applyFill="1" applyBorder="1"/>
    <xf numFmtId="0" fontId="10" fillId="2" borderId="0" xfId="1" applyFont="1" applyFill="1" applyBorder="1"/>
    <xf numFmtId="0" fontId="11" fillId="2" borderId="0" xfId="1" applyFont="1" applyFill="1" applyBorder="1"/>
    <xf numFmtId="0" fontId="12" fillId="2" borderId="0" xfId="1" applyFont="1" applyFill="1" applyBorder="1"/>
    <xf numFmtId="0" fontId="3" fillId="4" borderId="0" xfId="0" applyFont="1" applyFill="1"/>
    <xf numFmtId="0" fontId="2" fillId="3" borderId="0" xfId="0" applyFont="1" applyFill="1"/>
    <xf numFmtId="0" fontId="6" fillId="2" borderId="0" xfId="1" applyFont="1" applyFill="1" applyBorder="1"/>
    <xf numFmtId="0" fontId="3" fillId="4" borderId="0" xfId="0" applyFont="1" applyFill="1"/>
    <xf numFmtId="0" fontId="3" fillId="4" borderId="0" xfId="0" applyFont="1" applyFill="1"/>
    <xf numFmtId="2" fontId="8" fillId="2" borderId="0" xfId="1" applyNumberFormat="1" applyFont="1" applyFill="1" applyBorder="1" applyAlignment="1"/>
    <xf numFmtId="9" fontId="16" fillId="4" borderId="0" xfId="2" applyFont="1" applyFill="1"/>
    <xf numFmtId="0" fontId="19" fillId="6" borderId="0" xfId="0" applyFont="1" applyFill="1" applyBorder="1"/>
    <xf numFmtId="0" fontId="3" fillId="6" borderId="0" xfId="0" applyFont="1" applyFill="1" applyBorder="1"/>
    <xf numFmtId="2" fontId="3" fillId="6" borderId="0" xfId="0" applyNumberFormat="1" applyFont="1" applyFill="1" applyBorder="1"/>
    <xf numFmtId="0" fontId="3" fillId="6" borderId="0" xfId="0" applyFont="1" applyFill="1"/>
    <xf numFmtId="0" fontId="18" fillId="4" borderId="0" xfId="0" applyFont="1" applyFill="1" applyBorder="1"/>
    <xf numFmtId="41" fontId="18" fillId="4" borderId="0" xfId="0" applyNumberFormat="1" applyFont="1" applyFill="1" applyBorder="1"/>
    <xf numFmtId="164" fontId="18" fillId="4" borderId="0" xfId="0" applyNumberFormat="1" applyFont="1" applyFill="1" applyBorder="1"/>
    <xf numFmtId="42" fontId="18" fillId="4" borderId="0" xfId="0" applyNumberFormat="1" applyFont="1" applyFill="1" applyBorder="1"/>
    <xf numFmtId="0" fontId="18" fillId="4" borderId="0" xfId="0" applyFont="1" applyFill="1" applyBorder="1" applyAlignment="1">
      <alignment horizontal="center"/>
    </xf>
    <xf numFmtId="0" fontId="18" fillId="6" borderId="0" xfId="0" applyFont="1" applyFill="1"/>
    <xf numFmtId="0" fontId="18" fillId="4" borderId="0" xfId="0" applyFont="1" applyFill="1" applyBorder="1" applyAlignment="1"/>
    <xf numFmtId="42" fontId="18" fillId="4" borderId="0" xfId="0" applyNumberFormat="1" applyFont="1" applyFill="1" applyBorder="1" applyAlignment="1">
      <alignment horizontal="center"/>
    </xf>
    <xf numFmtId="0" fontId="21" fillId="4" borderId="0" xfId="0" applyFont="1" applyFill="1" applyAlignment="1">
      <alignment horizontal="center" wrapText="1"/>
    </xf>
    <xf numFmtId="8" fontId="3" fillId="4" borderId="0" xfId="0" applyNumberFormat="1" applyFont="1" applyFill="1"/>
    <xf numFmtId="0" fontId="3" fillId="6" borderId="0" xfId="0" applyFont="1" applyFill="1" applyBorder="1" applyAlignment="1">
      <alignment horizontal="left" wrapText="1"/>
    </xf>
    <xf numFmtId="0" fontId="3" fillId="7" borderId="3" xfId="0" applyFont="1" applyFill="1" applyBorder="1"/>
    <xf numFmtId="0" fontId="3" fillId="7" borderId="4" xfId="0" applyFont="1" applyFill="1" applyBorder="1"/>
    <xf numFmtId="0" fontId="3" fillId="7" borderId="6" xfId="0" applyFont="1" applyFill="1" applyBorder="1"/>
    <xf numFmtId="0" fontId="3" fillId="7" borderId="0" xfId="0" applyFont="1" applyFill="1" applyBorder="1"/>
    <xf numFmtId="0" fontId="3" fillId="7" borderId="9" xfId="0" applyFont="1" applyFill="1" applyBorder="1"/>
    <xf numFmtId="0" fontId="3" fillId="7" borderId="1" xfId="0" applyFont="1" applyFill="1" applyBorder="1"/>
    <xf numFmtId="42" fontId="17" fillId="7" borderId="8" xfId="0" applyNumberFormat="1" applyFont="1" applyFill="1" applyBorder="1"/>
    <xf numFmtId="0" fontId="3" fillId="7" borderId="0"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xf numFmtId="0" fontId="3" fillId="7" borderId="6" xfId="0" quotePrefix="1" applyFont="1" applyFill="1" applyBorder="1"/>
    <xf numFmtId="42" fontId="17" fillId="7" borderId="1" xfId="0" applyNumberFormat="1" applyFont="1" applyFill="1" applyBorder="1"/>
    <xf numFmtId="42" fontId="17" fillId="6" borderId="0" xfId="0" applyNumberFormat="1" applyFont="1" applyFill="1"/>
    <xf numFmtId="1" fontId="18" fillId="7" borderId="0" xfId="0" applyNumberFormat="1" applyFont="1" applyFill="1" applyBorder="1" applyAlignment="1">
      <alignment horizontal="center"/>
    </xf>
    <xf numFmtId="0" fontId="18" fillId="7" borderId="3" xfId="0" applyFont="1" applyFill="1" applyBorder="1"/>
    <xf numFmtId="1" fontId="18" fillId="7" borderId="7" xfId="0" applyNumberFormat="1" applyFont="1" applyFill="1" applyBorder="1" applyAlignment="1">
      <alignment horizontal="center"/>
    </xf>
    <xf numFmtId="0" fontId="21" fillId="7" borderId="0" xfId="0" applyFont="1" applyFill="1" applyBorder="1" applyAlignment="1">
      <alignment horizontal="center" wrapText="1"/>
    </xf>
    <xf numFmtId="0" fontId="21" fillId="7" borderId="7" xfId="0" applyFont="1" applyFill="1" applyBorder="1" applyAlignment="1">
      <alignment horizontal="center" wrapText="1"/>
    </xf>
    <xf numFmtId="0" fontId="23" fillId="0" borderId="0" xfId="0" applyFont="1"/>
    <xf numFmtId="0" fontId="0" fillId="0" borderId="12" xfId="0" applyFill="1" applyBorder="1" applyAlignment="1"/>
    <xf numFmtId="44" fontId="0" fillId="0" borderId="12" xfId="0" applyNumberFormat="1" applyFill="1" applyBorder="1" applyAlignment="1"/>
    <xf numFmtId="164" fontId="0" fillId="0" borderId="12" xfId="0" applyNumberFormat="1" applyFill="1" applyBorder="1" applyAlignment="1"/>
    <xf numFmtId="0" fontId="24" fillId="8" borderId="13" xfId="0" applyFont="1" applyFill="1" applyBorder="1"/>
    <xf numFmtId="0" fontId="25" fillId="8" borderId="14" xfId="0" applyFont="1" applyFill="1" applyBorder="1"/>
    <xf numFmtId="0" fontId="26" fillId="8" borderId="15" xfId="0" applyFont="1" applyFill="1" applyBorder="1"/>
    <xf numFmtId="0" fontId="27" fillId="8" borderId="16" xfId="0" applyFont="1" applyFill="1" applyBorder="1"/>
    <xf numFmtId="0" fontId="28" fillId="8" borderId="17" xfId="0" applyFont="1" applyFill="1" applyBorder="1"/>
    <xf numFmtId="0" fontId="28" fillId="8" borderId="18" xfId="0" applyFont="1" applyFill="1" applyBorder="1"/>
    <xf numFmtId="0" fontId="24" fillId="8" borderId="19" xfId="0" applyFont="1" applyFill="1" applyBorder="1"/>
    <xf numFmtId="0" fontId="26" fillId="8" borderId="20" xfId="0" applyFont="1" applyFill="1" applyBorder="1"/>
    <xf numFmtId="0" fontId="27" fillId="8" borderId="19" xfId="0" applyFont="1" applyFill="1" applyBorder="1"/>
    <xf numFmtId="0" fontId="25" fillId="8" borderId="21" xfId="0" applyFont="1" applyFill="1" applyBorder="1"/>
    <xf numFmtId="0" fontId="29" fillId="7" borderId="6" xfId="0" applyFont="1" applyFill="1" applyBorder="1" applyAlignment="1">
      <alignment horizontal="center"/>
    </xf>
    <xf numFmtId="0" fontId="0" fillId="7" borderId="0" xfId="0" applyFill="1" applyBorder="1"/>
    <xf numFmtId="0" fontId="0" fillId="7" borderId="7" xfId="0" applyFill="1" applyBorder="1"/>
    <xf numFmtId="0" fontId="0" fillId="7" borderId="6" xfId="0" applyFill="1" applyBorder="1" applyAlignment="1">
      <alignment horizontal="center"/>
    </xf>
    <xf numFmtId="0" fontId="0" fillId="7" borderId="9" xfId="0" applyFill="1" applyBorder="1" applyAlignment="1">
      <alignment horizontal="center"/>
    </xf>
    <xf numFmtId="0" fontId="26" fillId="4" borderId="22" xfId="0" applyFont="1" applyFill="1" applyBorder="1"/>
    <xf numFmtId="0" fontId="3" fillId="4" borderId="0" xfId="0" applyFont="1" applyFill="1" applyAlignment="1">
      <alignment wrapText="1"/>
    </xf>
    <xf numFmtId="0" fontId="21" fillId="4" borderId="0" xfId="0" applyFont="1" applyFill="1" applyAlignment="1">
      <alignment vertical="center"/>
    </xf>
    <xf numFmtId="0" fontId="21" fillId="7" borderId="4" xfId="0" applyFont="1" applyFill="1" applyBorder="1" applyAlignment="1">
      <alignment horizontal="center"/>
    </xf>
    <xf numFmtId="0" fontId="21" fillId="7" borderId="5" xfId="0" applyFont="1" applyFill="1" applyBorder="1" applyAlignment="1">
      <alignment horizontal="center"/>
    </xf>
    <xf numFmtId="0" fontId="21" fillId="4" borderId="0" xfId="0" applyFont="1" applyFill="1" applyAlignment="1">
      <alignment horizontal="center"/>
    </xf>
    <xf numFmtId="0" fontId="3" fillId="7" borderId="5" xfId="0" applyFont="1" applyFill="1" applyBorder="1"/>
    <xf numFmtId="0" fontId="3" fillId="7" borderId="7" xfId="0" applyFont="1" applyFill="1" applyBorder="1"/>
    <xf numFmtId="8" fontId="3" fillId="6" borderId="0" xfId="2" applyNumberFormat="1" applyFont="1" applyFill="1"/>
    <xf numFmtId="0" fontId="21" fillId="7" borderId="0" xfId="0" applyFont="1" applyFill="1" applyBorder="1" applyAlignment="1">
      <alignment horizontal="center"/>
    </xf>
    <xf numFmtId="0" fontId="21" fillId="7" borderId="7" xfId="0" applyFont="1" applyFill="1" applyBorder="1" applyAlignment="1">
      <alignment horizontal="center"/>
    </xf>
    <xf numFmtId="0" fontId="20" fillId="4" borderId="0" xfId="0" applyFont="1" applyFill="1" applyBorder="1" applyAlignment="1">
      <alignment horizontal="left"/>
    </xf>
    <xf numFmtId="0" fontId="0" fillId="0" borderId="12" xfId="0" applyFill="1" applyBorder="1" applyAlignment="1">
      <alignment wrapText="1"/>
    </xf>
    <xf numFmtId="0" fontId="1" fillId="4" borderId="0" xfId="1" applyFill="1"/>
    <xf numFmtId="0" fontId="33" fillId="4" borderId="0" xfId="1" applyFont="1" applyFill="1"/>
    <xf numFmtId="0" fontId="18" fillId="4" borderId="0" xfId="1" applyFont="1" applyFill="1" applyBorder="1"/>
    <xf numFmtId="0" fontId="10" fillId="4" borderId="0" xfId="1" applyFont="1" applyFill="1" applyBorder="1"/>
    <xf numFmtId="0" fontId="34" fillId="4" borderId="0" xfId="1" applyFont="1" applyFill="1" applyBorder="1"/>
    <xf numFmtId="41" fontId="30" fillId="4" borderId="0" xfId="1" applyNumberFormat="1" applyFont="1" applyFill="1" applyBorder="1"/>
    <xf numFmtId="44" fontId="31" fillId="4" borderId="0" xfId="1" applyNumberFormat="1" applyFont="1" applyFill="1" applyBorder="1"/>
    <xf numFmtId="0" fontId="36" fillId="4" borderId="0" xfId="1" applyFont="1" applyFill="1" applyBorder="1" applyAlignment="1">
      <alignment horizontal="center"/>
    </xf>
    <xf numFmtId="0" fontId="22" fillId="4" borderId="0" xfId="1" applyFont="1" applyFill="1" applyBorder="1" applyAlignment="1">
      <alignment horizontal="left"/>
    </xf>
    <xf numFmtId="0" fontId="18" fillId="4" borderId="0" xfId="1" applyFont="1" applyFill="1" applyBorder="1" applyAlignment="1">
      <alignment horizontal="left"/>
    </xf>
    <xf numFmtId="0" fontId="18" fillId="4" borderId="0" xfId="1" applyFont="1" applyFill="1"/>
    <xf numFmtId="0" fontId="35" fillId="4" borderId="0" xfId="1" applyFont="1" applyFill="1" applyBorder="1"/>
    <xf numFmtId="41" fontId="35" fillId="4" borderId="0" xfId="1" applyNumberFormat="1" applyFont="1" applyFill="1" applyBorder="1"/>
    <xf numFmtId="41" fontId="18" fillId="4" borderId="0" xfId="1" applyNumberFormat="1" applyFont="1" applyFill="1" applyBorder="1"/>
    <xf numFmtId="42" fontId="18" fillId="4" borderId="0" xfId="1" applyNumberFormat="1" applyFont="1" applyFill="1"/>
    <xf numFmtId="0" fontId="10" fillId="4" borderId="0" xfId="1" applyFont="1" applyFill="1"/>
    <xf numFmtId="1" fontId="35" fillId="4" borderId="0" xfId="1" applyNumberFormat="1" applyFont="1" applyFill="1" applyBorder="1"/>
    <xf numFmtId="0" fontId="18" fillId="7" borderId="3" xfId="1" applyFont="1" applyFill="1" applyBorder="1"/>
    <xf numFmtId="0" fontId="18" fillId="7" borderId="6" xfId="1" applyFont="1" applyFill="1" applyBorder="1"/>
    <xf numFmtId="0" fontId="10" fillId="7" borderId="6" xfId="1" applyFont="1" applyFill="1" applyBorder="1"/>
    <xf numFmtId="0" fontId="34" fillId="7" borderId="6" xfId="1" applyFont="1" applyFill="1" applyBorder="1"/>
    <xf numFmtId="41" fontId="30" fillId="7" borderId="7" xfId="6" applyNumberFormat="1" applyFont="1" applyFill="1" applyBorder="1"/>
    <xf numFmtId="0" fontId="10" fillId="7" borderId="9" xfId="1" applyFont="1" applyFill="1" applyBorder="1"/>
    <xf numFmtId="0" fontId="31" fillId="9" borderId="0" xfId="1" applyFont="1" applyFill="1" applyBorder="1"/>
    <xf numFmtId="42" fontId="31" fillId="9" borderId="0" xfId="1" applyNumberFormat="1" applyFont="1" applyFill="1" applyBorder="1"/>
    <xf numFmtId="0" fontId="36" fillId="9" borderId="0" xfId="1" applyFont="1" applyFill="1" applyBorder="1" applyAlignment="1">
      <alignment horizontal="center"/>
    </xf>
    <xf numFmtId="166" fontId="3" fillId="4" borderId="0" xfId="0" applyNumberFormat="1" applyFont="1" applyFill="1"/>
    <xf numFmtId="6" fontId="3" fillId="4" borderId="0" xfId="0" applyNumberFormat="1" applyFont="1" applyFill="1"/>
    <xf numFmtId="10" fontId="3" fillId="4" borderId="0" xfId="0" applyNumberFormat="1" applyFont="1" applyFill="1"/>
    <xf numFmtId="169" fontId="3" fillId="4" borderId="0" xfId="0" applyNumberFormat="1" applyFont="1" applyFill="1"/>
    <xf numFmtId="41" fontId="3" fillId="4" borderId="0" xfId="0" applyNumberFormat="1" applyFont="1" applyFill="1"/>
    <xf numFmtId="0" fontId="37" fillId="0" borderId="11" xfId="0" applyFont="1" applyFill="1" applyBorder="1" applyAlignment="1">
      <alignment horizontal="center"/>
    </xf>
    <xf numFmtId="0" fontId="26" fillId="4" borderId="0" xfId="0" applyFont="1" applyFill="1" applyBorder="1"/>
    <xf numFmtId="0" fontId="28" fillId="4" borderId="0" xfId="0" applyFont="1" applyFill="1" applyBorder="1"/>
    <xf numFmtId="0" fontId="38" fillId="5" borderId="0" xfId="1" applyFont="1" applyFill="1" applyBorder="1"/>
    <xf numFmtId="0" fontId="39" fillId="5" borderId="0" xfId="1" applyFont="1" applyFill="1" applyBorder="1"/>
    <xf numFmtId="41" fontId="40" fillId="4" borderId="0" xfId="0" applyNumberFormat="1" applyFont="1" applyFill="1"/>
    <xf numFmtId="164" fontId="40" fillId="4" borderId="0" xfId="0" applyNumberFormat="1" applyFont="1" applyFill="1"/>
    <xf numFmtId="0" fontId="40" fillId="4" borderId="0" xfId="0" applyFont="1" applyFill="1"/>
    <xf numFmtId="9" fontId="40" fillId="4" borderId="0" xfId="2" applyFont="1" applyFill="1"/>
    <xf numFmtId="42" fontId="40" fillId="4" borderId="0" xfId="0" applyNumberFormat="1" applyFont="1" applyFill="1"/>
    <xf numFmtId="10" fontId="40" fillId="4" borderId="0" xfId="2" applyNumberFormat="1" applyFont="1" applyFill="1"/>
    <xf numFmtId="42" fontId="41" fillId="7" borderId="0" xfId="0" applyNumberFormat="1" applyFont="1" applyFill="1" applyBorder="1"/>
    <xf numFmtId="42" fontId="41" fillId="7" borderId="7" xfId="0" applyNumberFormat="1" applyFont="1" applyFill="1" applyBorder="1"/>
    <xf numFmtId="166" fontId="41" fillId="7" borderId="0" xfId="0" applyNumberFormat="1" applyFont="1" applyFill="1" applyBorder="1"/>
    <xf numFmtId="166" fontId="41" fillId="7" borderId="7" xfId="0" applyNumberFormat="1" applyFont="1" applyFill="1" applyBorder="1"/>
    <xf numFmtId="43" fontId="41" fillId="7" borderId="0" xfId="0" applyNumberFormat="1" applyFont="1" applyFill="1" applyBorder="1"/>
    <xf numFmtId="43" fontId="41" fillId="7" borderId="7" xfId="0" applyNumberFormat="1" applyFont="1" applyFill="1" applyBorder="1"/>
    <xf numFmtId="166" fontId="41" fillId="7" borderId="1" xfId="0" applyNumberFormat="1" applyFont="1" applyFill="1" applyBorder="1"/>
    <xf numFmtId="166" fontId="41" fillId="7" borderId="8" xfId="0" applyNumberFormat="1" applyFont="1" applyFill="1" applyBorder="1"/>
    <xf numFmtId="41" fontId="41" fillId="7" borderId="1" xfId="0" applyNumberFormat="1" applyFont="1" applyFill="1" applyBorder="1"/>
    <xf numFmtId="41" fontId="41" fillId="7" borderId="8" xfId="0" applyNumberFormat="1" applyFont="1" applyFill="1" applyBorder="1"/>
    <xf numFmtId="42" fontId="41" fillId="7" borderId="1" xfId="0" applyNumberFormat="1" applyFont="1" applyFill="1" applyBorder="1"/>
    <xf numFmtId="42" fontId="41" fillId="7" borderId="8" xfId="0" applyNumberFormat="1" applyFont="1" applyFill="1" applyBorder="1"/>
    <xf numFmtId="42" fontId="41" fillId="7" borderId="5" xfId="0" applyNumberFormat="1" applyFont="1" applyFill="1" applyBorder="1"/>
    <xf numFmtId="42" fontId="41" fillId="7" borderId="4" xfId="0" applyNumberFormat="1" applyFont="1" applyFill="1" applyBorder="1"/>
    <xf numFmtId="42" fontId="41" fillId="7" borderId="2" xfId="0" applyNumberFormat="1" applyFont="1" applyFill="1" applyBorder="1"/>
    <xf numFmtId="42" fontId="41" fillId="7" borderId="10" xfId="0" applyNumberFormat="1" applyFont="1" applyFill="1" applyBorder="1"/>
    <xf numFmtId="0" fontId="41" fillId="7" borderId="0" xfId="0" applyFont="1" applyFill="1" applyBorder="1"/>
    <xf numFmtId="41" fontId="41" fillId="7" borderId="0" xfId="0" applyNumberFormat="1" applyFont="1" applyFill="1" applyBorder="1"/>
    <xf numFmtId="41" fontId="41" fillId="7" borderId="7" xfId="0" applyNumberFormat="1" applyFont="1" applyFill="1" applyBorder="1"/>
    <xf numFmtId="165" fontId="41" fillId="7" borderId="0" xfId="0" applyNumberFormat="1" applyFont="1" applyFill="1" applyBorder="1"/>
    <xf numFmtId="165" fontId="41" fillId="7" borderId="1" xfId="0" applyNumberFormat="1" applyFont="1" applyFill="1" applyBorder="1"/>
    <xf numFmtId="10" fontId="41" fillId="7" borderId="6" xfId="2" applyNumberFormat="1" applyFont="1" applyFill="1" applyBorder="1"/>
    <xf numFmtId="9" fontId="40" fillId="7" borderId="6" xfId="2" applyFont="1" applyFill="1" applyBorder="1"/>
    <xf numFmtId="9" fontId="40" fillId="7" borderId="9" xfId="2" applyFont="1" applyFill="1" applyBorder="1"/>
    <xf numFmtId="10" fontId="42" fillId="7" borderId="0" xfId="2" applyNumberFormat="1" applyFont="1" applyFill="1" applyBorder="1"/>
    <xf numFmtId="10" fontId="42" fillId="7" borderId="7" xfId="2" applyNumberFormat="1" applyFont="1" applyFill="1" applyBorder="1"/>
    <xf numFmtId="10" fontId="42" fillId="7" borderId="0" xfId="0" applyNumberFormat="1" applyFont="1" applyFill="1" applyBorder="1"/>
    <xf numFmtId="10" fontId="42" fillId="7" borderId="1" xfId="0" applyNumberFormat="1" applyFont="1" applyFill="1" applyBorder="1"/>
    <xf numFmtId="10" fontId="42" fillId="7" borderId="1" xfId="2" applyNumberFormat="1" applyFont="1" applyFill="1" applyBorder="1"/>
    <xf numFmtId="10" fontId="42" fillId="7" borderId="8" xfId="2" applyNumberFormat="1" applyFont="1" applyFill="1" applyBorder="1"/>
    <xf numFmtId="42" fontId="41" fillId="4" borderId="0" xfId="0" applyNumberFormat="1" applyFont="1" applyFill="1"/>
    <xf numFmtId="44" fontId="41" fillId="4" borderId="0" xfId="0" applyNumberFormat="1" applyFont="1" applyFill="1"/>
    <xf numFmtId="42" fontId="40" fillId="4" borderId="0" xfId="0" applyNumberFormat="1" applyFont="1" applyFill="1" applyBorder="1"/>
    <xf numFmtId="41" fontId="40" fillId="4" borderId="0" xfId="2" applyNumberFormat="1" applyFont="1" applyFill="1" applyBorder="1"/>
    <xf numFmtId="164" fontId="40" fillId="4" borderId="0" xfId="0" applyNumberFormat="1" applyFont="1" applyFill="1" applyBorder="1"/>
    <xf numFmtId="9" fontId="40" fillId="4" borderId="0" xfId="2" applyFont="1" applyFill="1" applyBorder="1"/>
    <xf numFmtId="164" fontId="41" fillId="4" borderId="0" xfId="0" applyNumberFormat="1" applyFont="1" applyFill="1"/>
    <xf numFmtId="43" fontId="41" fillId="4" borderId="1" xfId="0" applyNumberFormat="1" applyFont="1" applyFill="1" applyBorder="1"/>
    <xf numFmtId="165" fontId="41" fillId="7" borderId="7" xfId="0" applyNumberFormat="1" applyFont="1" applyFill="1" applyBorder="1"/>
    <xf numFmtId="44" fontId="41" fillId="4" borderId="0" xfId="0" applyNumberFormat="1" applyFont="1" applyFill="1" applyBorder="1"/>
    <xf numFmtId="44" fontId="41" fillId="6" borderId="0" xfId="0" applyNumberFormat="1" applyFont="1" applyFill="1"/>
    <xf numFmtId="167" fontId="40" fillId="4" borderId="0" xfId="2" applyNumberFormat="1" applyFont="1" applyFill="1"/>
    <xf numFmtId="41" fontId="41" fillId="4" borderId="0" xfId="0" applyNumberFormat="1" applyFont="1" applyFill="1"/>
    <xf numFmtId="167" fontId="41" fillId="4" borderId="0" xfId="2" applyNumberFormat="1" applyFont="1" applyFill="1"/>
    <xf numFmtId="0" fontId="41" fillId="7" borderId="7" xfId="0" applyFont="1" applyFill="1" applyBorder="1"/>
    <xf numFmtId="8" fontId="41" fillId="7" borderId="1" xfId="0" applyNumberFormat="1" applyFont="1" applyFill="1" applyBorder="1"/>
    <xf numFmtId="0" fontId="41" fillId="7" borderId="1" xfId="0" applyFont="1" applyFill="1" applyBorder="1"/>
    <xf numFmtId="0" fontId="41" fillId="7" borderId="8" xfId="0" applyFont="1" applyFill="1" applyBorder="1"/>
    <xf numFmtId="42" fontId="40" fillId="7" borderId="5" xfId="1" applyNumberFormat="1" applyFont="1" applyFill="1" applyBorder="1"/>
    <xf numFmtId="42" fontId="40" fillId="7" borderId="7" xfId="1" applyNumberFormat="1" applyFont="1" applyFill="1" applyBorder="1"/>
    <xf numFmtId="10" fontId="40" fillId="7" borderId="7" xfId="6" applyNumberFormat="1" applyFont="1" applyFill="1" applyBorder="1"/>
    <xf numFmtId="9" fontId="40" fillId="7" borderId="7" xfId="6" applyFont="1" applyFill="1" applyBorder="1"/>
    <xf numFmtId="41" fontId="40" fillId="7" borderId="7" xfId="6" applyNumberFormat="1" applyFont="1" applyFill="1" applyBorder="1"/>
    <xf numFmtId="42" fontId="40" fillId="7" borderId="7" xfId="6" applyNumberFormat="1" applyFont="1" applyFill="1" applyBorder="1"/>
    <xf numFmtId="9" fontId="40" fillId="7" borderId="7" xfId="6" applyNumberFormat="1" applyFont="1" applyFill="1" applyBorder="1"/>
    <xf numFmtId="9" fontId="40" fillId="7" borderId="8" xfId="6" applyFont="1" applyFill="1" applyBorder="1"/>
    <xf numFmtId="42" fontId="41" fillId="7" borderId="7" xfId="6" applyNumberFormat="1" applyFont="1" applyFill="1" applyBorder="1"/>
    <xf numFmtId="10" fontId="41" fillId="9" borderId="0" xfId="1" applyNumberFormat="1" applyFont="1" applyFill="1" applyBorder="1"/>
    <xf numFmtId="0" fontId="41" fillId="9" borderId="0" xfId="1" applyFont="1" applyFill="1" applyBorder="1"/>
    <xf numFmtId="164" fontId="41" fillId="9" borderId="0" xfId="1" applyNumberFormat="1" applyFont="1" applyFill="1" applyBorder="1"/>
    <xf numFmtId="166" fontId="41" fillId="9" borderId="0" xfId="1" applyNumberFormat="1" applyFont="1" applyFill="1" applyBorder="1"/>
    <xf numFmtId="44" fontId="41" fillId="9" borderId="0" xfId="1" applyNumberFormat="1" applyFont="1" applyFill="1" applyBorder="1"/>
    <xf numFmtId="43" fontId="41" fillId="9" borderId="0" xfId="1" applyNumberFormat="1" applyFont="1" applyFill="1" applyBorder="1"/>
    <xf numFmtId="41" fontId="41" fillId="9" borderId="0" xfId="1" applyNumberFormat="1" applyFont="1" applyFill="1" applyBorder="1"/>
    <xf numFmtId="42" fontId="41" fillId="9" borderId="0" xfId="1" applyNumberFormat="1" applyFont="1" applyFill="1" applyBorder="1"/>
    <xf numFmtId="41" fontId="41" fillId="9" borderId="1" xfId="1" applyNumberFormat="1" applyFont="1" applyFill="1" applyBorder="1"/>
    <xf numFmtId="0" fontId="41" fillId="9" borderId="0" xfId="1" applyNumberFormat="1" applyFont="1" applyFill="1" applyBorder="1"/>
    <xf numFmtId="168" fontId="41" fillId="9" borderId="0" xfId="1" applyNumberFormat="1" applyFont="1" applyFill="1" applyBorder="1"/>
    <xf numFmtId="0" fontId="3" fillId="6" borderId="0" xfId="0" applyFont="1" applyFill="1" applyBorder="1" applyAlignment="1">
      <alignment horizontal="left" wrapText="1"/>
    </xf>
    <xf numFmtId="0" fontId="3" fillId="6" borderId="0" xfId="0" applyFont="1" applyFill="1" applyAlignment="1">
      <alignment horizontal="left" wrapText="1"/>
    </xf>
    <xf numFmtId="0" fontId="4" fillId="4" borderId="0" xfId="0" applyFont="1" applyFill="1" applyAlignment="1">
      <alignment horizontal="left" wrapText="1"/>
    </xf>
    <xf numFmtId="0" fontId="3" fillId="4" borderId="0" xfId="0" applyFont="1" applyFill="1" applyAlignment="1">
      <alignment horizontal="left" wrapText="1"/>
    </xf>
    <xf numFmtId="0" fontId="21" fillId="7" borderId="4" xfId="0" applyFont="1" applyFill="1" applyBorder="1" applyAlignment="1">
      <alignment horizontal="center"/>
    </xf>
    <xf numFmtId="0" fontId="21" fillId="7" borderId="5" xfId="0" applyFont="1" applyFill="1" applyBorder="1" applyAlignment="1">
      <alignment horizontal="center"/>
    </xf>
    <xf numFmtId="0" fontId="22" fillId="7" borderId="4" xfId="0" applyFont="1" applyFill="1" applyBorder="1" applyAlignment="1">
      <alignment horizontal="center"/>
    </xf>
    <xf numFmtId="0" fontId="22" fillId="7" borderId="5" xfId="0" applyFont="1" applyFill="1" applyBorder="1" applyAlignment="1">
      <alignment horizontal="center"/>
    </xf>
    <xf numFmtId="0" fontId="20" fillId="6" borderId="0" xfId="0" applyFont="1" applyFill="1" applyAlignment="1">
      <alignment horizontal="left" wrapText="1"/>
    </xf>
    <xf numFmtId="0" fontId="20" fillId="4" borderId="0" xfId="0" applyFont="1" applyFill="1" applyBorder="1" applyAlignment="1">
      <alignment horizontal="left"/>
    </xf>
    <xf numFmtId="0" fontId="18" fillId="4" borderId="0" xfId="0" applyFont="1" applyFill="1" applyBorder="1" applyAlignment="1">
      <alignment horizontal="left" wrapText="1"/>
    </xf>
    <xf numFmtId="0" fontId="18" fillId="6" borderId="0" xfId="0" applyFont="1" applyFill="1" applyAlignment="1">
      <alignment horizontal="left" wrapText="1"/>
    </xf>
    <xf numFmtId="0" fontId="21" fillId="7" borderId="3" xfId="0" applyFont="1" applyFill="1" applyBorder="1" applyAlignment="1">
      <alignment horizontal="center"/>
    </xf>
    <xf numFmtId="0" fontId="32" fillId="4" borderId="0" xfId="1" applyFont="1" applyFill="1" applyAlignment="1">
      <alignment horizontal="left"/>
    </xf>
  </cellXfs>
  <cellStyles count="7">
    <cellStyle name="Comma 2" xfId="3"/>
    <cellStyle name="Currency 2" xfId="4"/>
    <cellStyle name="Normal" xfId="0" builtinId="0"/>
    <cellStyle name="Normal 2" xfId="1"/>
    <cellStyle name="Normal 3" xfId="5"/>
    <cellStyle name="Percent" xfId="2" builtinId="5"/>
    <cellStyle name="Percent 2" xfId="6"/>
  </cellStyles>
  <dxfs count="0"/>
  <tableStyles count="0" defaultTableStyle="TableStyleMedium9" defaultPivotStyle="PivotStyleLight16"/>
  <colors>
    <mruColors>
      <color rgb="FFB80000"/>
      <color rgb="FF0050C7"/>
      <color rgb="FFFFFF99"/>
      <color rgb="FFCCFFFF"/>
      <color rgb="FF66FFFF"/>
      <color rgb="FFCCFFCC"/>
      <color rgb="FFF79646"/>
      <color rgb="FF0000CC"/>
      <color rgb="FF66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Section 6.5'!A21"/><Relationship Id="rId2" Type="http://schemas.openxmlformats.org/officeDocument/2006/relationships/hyperlink" Target="#'Section 6.2'!A107"/><Relationship Id="rId1" Type="http://schemas.openxmlformats.org/officeDocument/2006/relationships/hyperlink" Target="#'Section 6.5'!A96"/><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0</xdr:colOff>
      <xdr:row>12</xdr:row>
      <xdr:rowOff>28575</xdr:rowOff>
    </xdr:from>
    <xdr:ext cx="2752725" cy="276225"/>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828800" y="3038475"/>
          <a:ext cx="2752725" cy="276225"/>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Solver</a:t>
          </a:r>
        </a:p>
      </xdr:txBody>
    </xdr:sp>
    <xdr:clientData/>
  </xdr:oneCellAnchor>
  <xdr:oneCellAnchor>
    <xdr:from>
      <xdr:col>3</xdr:col>
      <xdr:colOff>0</xdr:colOff>
      <xdr:row>11</xdr:row>
      <xdr:rowOff>0</xdr:rowOff>
    </xdr:from>
    <xdr:ext cx="2743200" cy="311496"/>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000-000009000000}"/>
            </a:ext>
          </a:extLst>
        </xdr:cNvPr>
        <xdr:cNvSpPr txBox="1"/>
      </xdr:nvSpPr>
      <xdr:spPr>
        <a:xfrm>
          <a:off x="1828800" y="2714625"/>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VDB</a:t>
          </a:r>
        </a:p>
      </xdr:txBody>
    </xdr:sp>
    <xdr:clientData/>
  </xdr:oneCellAnchor>
  <xdr:oneCellAnchor>
    <xdr:from>
      <xdr:col>3</xdr:col>
      <xdr:colOff>0</xdr:colOff>
      <xdr:row>13</xdr:row>
      <xdr:rowOff>28575</xdr:rowOff>
    </xdr:from>
    <xdr:ext cx="2743200" cy="295275"/>
    <xdr:sp macro="" textlink="">
      <xdr:nvSpPr>
        <xdr:cNvPr id="10" name="TextBox 9">
          <a:hlinkClick xmlns:r="http://schemas.openxmlformats.org/officeDocument/2006/relationships" r:id="rId3"/>
          <a:extLst>
            <a:ext uri="{FF2B5EF4-FFF2-40B4-BE49-F238E27FC236}">
              <a16:creationId xmlns:a16="http://schemas.microsoft.com/office/drawing/2014/main" id="{00000000-0008-0000-0000-00000A000000}"/>
            </a:ext>
          </a:extLst>
        </xdr:cNvPr>
        <xdr:cNvSpPr txBox="1"/>
      </xdr:nvSpPr>
      <xdr:spPr>
        <a:xfrm>
          <a:off x="1828800" y="3333750"/>
          <a:ext cx="2743200" cy="295275"/>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SLN</a:t>
          </a:r>
        </a:p>
      </xdr:txBody>
    </xdr:sp>
    <xdr:clientData/>
  </xdr:oneCellAnchor>
  <xdr:twoCellAnchor editAs="oneCell">
    <xdr:from>
      <xdr:col>4</xdr:col>
      <xdr:colOff>0</xdr:colOff>
      <xdr:row>22</xdr:row>
      <xdr:rowOff>0</xdr:rowOff>
    </xdr:from>
    <xdr:to>
      <xdr:col>4</xdr:col>
      <xdr:colOff>514422</xdr:colOff>
      <xdr:row>23</xdr:row>
      <xdr:rowOff>28607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667250" y="539115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105</xdr:row>
      <xdr:rowOff>123825</xdr:rowOff>
    </xdr:from>
    <xdr:to>
      <xdr:col>7</xdr:col>
      <xdr:colOff>219881</xdr:colOff>
      <xdr:row>123</xdr:row>
      <xdr:rowOff>29064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5" y="22717125"/>
          <a:ext cx="5772956" cy="35056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200025</xdr:colOff>
      <xdr:row>97</xdr:row>
      <xdr:rowOff>57150</xdr:rowOff>
    </xdr:from>
    <xdr:to>
      <xdr:col>7</xdr:col>
      <xdr:colOff>924711</xdr:colOff>
      <xdr:row>125</xdr:row>
      <xdr:rowOff>153195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8775" y="21869400"/>
          <a:ext cx="5630061" cy="5696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1085850</xdr:colOff>
      <xdr:row>22</xdr:row>
      <xdr:rowOff>142875</xdr:rowOff>
    </xdr:from>
    <xdr:to>
      <xdr:col>7</xdr:col>
      <xdr:colOff>677058</xdr:colOff>
      <xdr:row>37</xdr:row>
      <xdr:rowOff>95662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0175" y="5295900"/>
          <a:ext cx="5611008" cy="29531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
  <sheetViews>
    <sheetView tabSelected="1" workbookViewId="0"/>
  </sheetViews>
  <sheetFormatPr defaultRowHeight="12.75" x14ac:dyDescent="0.2"/>
  <cols>
    <col min="1" max="3" width="9.140625" style="4"/>
    <col min="4" max="4" width="42.5703125" style="4" customWidth="1"/>
    <col min="5" max="16384" width="9.140625" style="4"/>
  </cols>
  <sheetData>
    <row r="1" spans="1:29" x14ac:dyDescent="0.2">
      <c r="A1" s="15"/>
      <c r="B1" s="15"/>
      <c r="C1" s="15"/>
      <c r="D1" s="15"/>
      <c r="E1" s="15"/>
      <c r="F1" s="15"/>
      <c r="G1" s="15"/>
      <c r="H1" s="15"/>
      <c r="I1" s="15"/>
      <c r="J1" s="15"/>
      <c r="K1" s="15"/>
      <c r="L1" s="15"/>
      <c r="M1" s="3"/>
      <c r="N1" s="3"/>
      <c r="O1" s="3"/>
      <c r="P1" s="3"/>
      <c r="Q1" s="3"/>
      <c r="R1" s="3"/>
      <c r="S1" s="3"/>
      <c r="T1" s="3"/>
      <c r="U1" s="3"/>
      <c r="V1" s="3"/>
      <c r="W1" s="3"/>
      <c r="X1" s="3"/>
      <c r="Y1" s="3"/>
      <c r="Z1" s="3"/>
      <c r="AA1" s="3"/>
      <c r="AB1" s="3"/>
      <c r="AC1" s="3"/>
    </row>
    <row r="2" spans="1:29" x14ac:dyDescent="0.2">
      <c r="A2" s="15"/>
      <c r="B2" s="15"/>
      <c r="C2" s="15"/>
      <c r="D2" s="15"/>
      <c r="E2" s="15"/>
      <c r="F2" s="15"/>
      <c r="G2" s="15"/>
      <c r="H2" s="15"/>
      <c r="I2" s="15"/>
      <c r="J2" s="15"/>
      <c r="K2" s="15"/>
      <c r="L2" s="15"/>
      <c r="M2" s="3"/>
      <c r="N2" s="3"/>
      <c r="O2" s="3"/>
      <c r="P2" s="3"/>
      <c r="Q2" s="3"/>
      <c r="R2" s="3"/>
      <c r="S2" s="3"/>
      <c r="T2" s="3"/>
      <c r="U2" s="3"/>
      <c r="V2" s="3"/>
      <c r="W2" s="3"/>
      <c r="X2" s="3"/>
      <c r="Y2" s="3"/>
      <c r="Z2" s="3"/>
      <c r="AA2" s="3"/>
      <c r="AB2" s="3"/>
      <c r="AC2" s="3"/>
    </row>
    <row r="3" spans="1:29" ht="15.75" x14ac:dyDescent="0.25">
      <c r="A3" s="15"/>
      <c r="B3" s="15"/>
      <c r="C3" s="15"/>
      <c r="D3" s="8" t="s">
        <v>201</v>
      </c>
      <c r="E3" s="7"/>
      <c r="F3" s="7"/>
      <c r="G3" s="15"/>
      <c r="H3" s="15"/>
      <c r="I3" s="15"/>
      <c r="J3" s="15"/>
      <c r="K3" s="15"/>
      <c r="L3" s="15"/>
      <c r="M3" s="3"/>
      <c r="N3" s="3"/>
      <c r="O3" s="3"/>
      <c r="P3" s="3"/>
      <c r="Q3" s="3"/>
      <c r="R3" s="3"/>
      <c r="S3" s="3"/>
      <c r="T3" s="3"/>
      <c r="U3" s="3"/>
      <c r="V3" s="3"/>
      <c r="W3" s="3"/>
      <c r="X3" s="3"/>
      <c r="Y3" s="3"/>
      <c r="Z3" s="3"/>
      <c r="AA3" s="3"/>
      <c r="AB3" s="3"/>
      <c r="AC3" s="3"/>
    </row>
    <row r="4" spans="1:29" ht="15.75" x14ac:dyDescent="0.25">
      <c r="A4" s="15"/>
      <c r="B4" s="15"/>
      <c r="C4" s="15"/>
      <c r="D4" s="9" t="s">
        <v>213</v>
      </c>
      <c r="E4" s="7"/>
      <c r="F4" s="7"/>
      <c r="G4" s="15"/>
      <c r="H4" s="15"/>
      <c r="I4" s="15"/>
      <c r="J4" s="15"/>
      <c r="K4" s="15"/>
      <c r="L4" s="15"/>
      <c r="M4" s="3"/>
      <c r="N4" s="3"/>
      <c r="O4" s="3"/>
      <c r="P4" s="3"/>
      <c r="Q4" s="3"/>
      <c r="R4" s="3"/>
      <c r="S4" s="3"/>
      <c r="T4" s="3"/>
      <c r="U4" s="3"/>
      <c r="V4" s="3"/>
      <c r="W4" s="3"/>
      <c r="X4" s="3"/>
      <c r="Y4" s="3"/>
      <c r="Z4" s="3"/>
      <c r="AA4" s="3"/>
      <c r="AB4" s="3"/>
      <c r="AC4" s="3"/>
    </row>
    <row r="5" spans="1:29" ht="15.75" x14ac:dyDescent="0.25">
      <c r="A5" s="15"/>
      <c r="B5" s="15"/>
      <c r="C5" s="15"/>
      <c r="D5" s="8" t="s">
        <v>92</v>
      </c>
      <c r="E5" s="7"/>
      <c r="F5" s="7"/>
      <c r="G5" s="15"/>
      <c r="H5" s="15"/>
      <c r="I5" s="15"/>
      <c r="J5" s="15"/>
      <c r="K5" s="15"/>
      <c r="L5" s="15"/>
      <c r="M5" s="3"/>
      <c r="N5" s="3"/>
      <c r="O5" s="3"/>
      <c r="P5" s="3"/>
      <c r="Q5" s="3"/>
      <c r="R5" s="3"/>
      <c r="S5" s="3"/>
      <c r="T5" s="3"/>
      <c r="U5" s="3"/>
      <c r="V5" s="3"/>
      <c r="W5" s="3"/>
      <c r="X5" s="3"/>
      <c r="Y5" s="3"/>
      <c r="Z5" s="3"/>
      <c r="AA5" s="3"/>
      <c r="AB5" s="3"/>
      <c r="AC5" s="3"/>
    </row>
    <row r="6" spans="1:29" ht="15.75" x14ac:dyDescent="0.25">
      <c r="A6" s="15"/>
      <c r="B6" s="15"/>
      <c r="C6" s="15"/>
      <c r="D6" s="8" t="s">
        <v>214</v>
      </c>
      <c r="E6" s="7"/>
      <c r="F6" s="7"/>
      <c r="G6" s="15"/>
      <c r="H6" s="15"/>
      <c r="I6" s="15"/>
      <c r="J6" s="15"/>
      <c r="K6" s="15"/>
      <c r="L6" s="15"/>
      <c r="M6" s="3"/>
      <c r="N6" s="3"/>
      <c r="O6" s="3"/>
      <c r="P6" s="3"/>
      <c r="Q6" s="3"/>
      <c r="R6" s="3"/>
      <c r="S6" s="3"/>
      <c r="T6" s="3"/>
      <c r="U6" s="3"/>
      <c r="V6" s="3"/>
      <c r="W6" s="3"/>
      <c r="X6" s="3"/>
      <c r="Y6" s="3"/>
      <c r="Z6" s="3"/>
      <c r="AA6" s="3"/>
      <c r="AB6" s="3"/>
      <c r="AC6" s="3"/>
    </row>
    <row r="7" spans="1:29" x14ac:dyDescent="0.2">
      <c r="A7" s="15"/>
      <c r="B7" s="15"/>
      <c r="C7" s="15"/>
      <c r="D7" s="15"/>
      <c r="E7" s="15"/>
      <c r="F7" s="15"/>
      <c r="G7" s="15"/>
      <c r="H7" s="15"/>
      <c r="I7" s="15"/>
      <c r="J7" s="15"/>
      <c r="K7" s="15"/>
      <c r="L7" s="15"/>
      <c r="M7" s="3"/>
      <c r="N7" s="3"/>
      <c r="O7" s="3"/>
      <c r="P7" s="3"/>
      <c r="Q7" s="3"/>
      <c r="R7" s="3"/>
      <c r="S7" s="3"/>
      <c r="T7" s="3"/>
      <c r="U7" s="3"/>
      <c r="V7" s="3"/>
      <c r="W7" s="3"/>
      <c r="X7" s="3"/>
      <c r="Y7" s="3"/>
      <c r="Z7" s="3"/>
      <c r="AA7" s="3"/>
      <c r="AB7" s="3"/>
      <c r="AC7" s="3"/>
    </row>
    <row r="8" spans="1:29" ht="61.5" x14ac:dyDescent="0.9">
      <c r="A8" s="15"/>
      <c r="B8" s="15"/>
      <c r="C8" s="15"/>
      <c r="D8" s="18" t="s">
        <v>135</v>
      </c>
      <c r="E8" s="15"/>
      <c r="F8" s="5"/>
      <c r="G8" s="15"/>
      <c r="H8" s="15"/>
      <c r="I8" s="15"/>
      <c r="J8" s="15"/>
      <c r="K8" s="15"/>
      <c r="L8" s="15"/>
      <c r="M8" s="3"/>
      <c r="N8" s="3"/>
      <c r="O8" s="3"/>
      <c r="P8" s="3"/>
      <c r="Q8" s="3"/>
      <c r="R8" s="3"/>
      <c r="S8" s="3"/>
      <c r="T8" s="3"/>
      <c r="U8" s="3"/>
      <c r="V8" s="3"/>
      <c r="W8" s="3"/>
      <c r="X8" s="3"/>
      <c r="Y8" s="3"/>
      <c r="Z8" s="3"/>
      <c r="AA8" s="3"/>
      <c r="AB8" s="3"/>
      <c r="AC8" s="3"/>
    </row>
    <row r="9" spans="1:29" x14ac:dyDescent="0.2">
      <c r="A9" s="15"/>
      <c r="B9" s="15"/>
      <c r="C9" s="15"/>
      <c r="D9" s="15"/>
      <c r="E9" s="15"/>
      <c r="F9" s="15"/>
      <c r="G9" s="15"/>
      <c r="H9" s="15"/>
      <c r="I9" s="15"/>
      <c r="J9" s="15"/>
      <c r="K9" s="15"/>
      <c r="L9" s="15"/>
      <c r="M9" s="3"/>
      <c r="N9" s="3"/>
      <c r="O9" s="3"/>
      <c r="P9" s="3"/>
      <c r="Q9" s="3"/>
      <c r="R9" s="3"/>
      <c r="S9" s="3"/>
      <c r="T9" s="3"/>
      <c r="U9" s="3"/>
      <c r="V9" s="3"/>
      <c r="W9" s="3"/>
      <c r="X9" s="3"/>
      <c r="Y9" s="3"/>
      <c r="Z9" s="3"/>
      <c r="AA9" s="3"/>
      <c r="AB9" s="3"/>
      <c r="AC9" s="3"/>
    </row>
    <row r="10" spans="1:29" ht="18.75" x14ac:dyDescent="0.3">
      <c r="A10" s="15"/>
      <c r="B10" s="15"/>
      <c r="C10" s="15"/>
      <c r="D10" s="14" t="s">
        <v>1</v>
      </c>
      <c r="E10" s="14"/>
      <c r="F10" s="14"/>
      <c r="G10" s="14"/>
      <c r="H10" s="15"/>
      <c r="I10" s="15"/>
      <c r="J10" s="15"/>
      <c r="K10" s="15"/>
      <c r="L10" s="15"/>
      <c r="M10" s="3"/>
      <c r="N10" s="3"/>
      <c r="O10" s="3"/>
      <c r="P10" s="3"/>
      <c r="Q10" s="3"/>
      <c r="R10" s="3"/>
      <c r="S10" s="3"/>
      <c r="T10" s="3"/>
      <c r="U10" s="3"/>
      <c r="V10" s="3"/>
      <c r="W10" s="3"/>
      <c r="X10" s="3"/>
      <c r="Y10" s="3"/>
      <c r="Z10" s="3"/>
      <c r="AA10" s="3"/>
      <c r="AB10" s="3"/>
      <c r="AC10" s="3"/>
    </row>
    <row r="11" spans="1:29" ht="19.5" customHeight="1" x14ac:dyDescent="0.3">
      <c r="A11" s="15"/>
      <c r="B11" s="15"/>
      <c r="C11" s="15"/>
      <c r="D11" s="14"/>
      <c r="E11" s="14"/>
      <c r="F11" s="14"/>
      <c r="G11" s="14"/>
      <c r="H11" s="15"/>
      <c r="I11" s="15"/>
      <c r="J11" s="15"/>
      <c r="K11" s="15"/>
      <c r="L11" s="15"/>
      <c r="M11" s="3"/>
      <c r="N11" s="3"/>
      <c r="O11" s="3"/>
      <c r="P11" s="3"/>
      <c r="Q11" s="3"/>
      <c r="R11" s="3"/>
      <c r="S11" s="3"/>
      <c r="T11" s="3"/>
      <c r="U11" s="3"/>
      <c r="V11" s="3"/>
      <c r="W11" s="3"/>
      <c r="X11" s="3"/>
      <c r="Y11" s="3"/>
      <c r="Z11" s="3"/>
      <c r="AA11" s="3"/>
      <c r="AB11" s="3"/>
      <c r="AC11" s="3"/>
    </row>
    <row r="12" spans="1:29" ht="23.45" customHeight="1" x14ac:dyDescent="0.3">
      <c r="A12" s="15"/>
      <c r="B12" s="15"/>
      <c r="C12" s="15"/>
      <c r="F12" s="14"/>
      <c r="G12" s="15"/>
      <c r="H12" s="15"/>
      <c r="I12" s="15"/>
      <c r="J12" s="15"/>
      <c r="K12" s="15"/>
      <c r="L12" s="3"/>
      <c r="M12" s="3"/>
      <c r="N12" s="3"/>
      <c r="O12" s="3"/>
      <c r="P12" s="3"/>
      <c r="Q12" s="3"/>
      <c r="R12" s="3"/>
      <c r="S12" s="3"/>
      <c r="T12" s="3"/>
      <c r="U12" s="3"/>
      <c r="V12" s="3"/>
      <c r="W12" s="3"/>
      <c r="X12" s="3"/>
      <c r="Y12" s="3"/>
      <c r="Z12" s="3"/>
      <c r="AA12" s="3"/>
      <c r="AB12" s="3"/>
    </row>
    <row r="13" spans="1:29" ht="23.45" customHeight="1" x14ac:dyDescent="0.3">
      <c r="A13" s="15"/>
      <c r="B13" s="15"/>
      <c r="C13" s="15"/>
      <c r="F13" s="14"/>
      <c r="G13" s="15"/>
      <c r="H13" s="15"/>
      <c r="I13" s="15"/>
      <c r="J13" s="15"/>
      <c r="K13" s="15"/>
      <c r="L13" s="3"/>
      <c r="M13" s="3"/>
      <c r="N13" s="3"/>
      <c r="O13" s="3"/>
      <c r="P13" s="3"/>
      <c r="Q13" s="3"/>
      <c r="R13" s="3"/>
      <c r="S13" s="3"/>
      <c r="T13" s="3"/>
      <c r="U13" s="3"/>
      <c r="V13" s="3"/>
      <c r="W13" s="3"/>
      <c r="X13" s="3"/>
      <c r="Y13" s="3"/>
      <c r="Z13" s="3"/>
      <c r="AA13" s="3"/>
      <c r="AB13" s="3"/>
    </row>
    <row r="14" spans="1:29" ht="23.45" customHeight="1" x14ac:dyDescent="0.3">
      <c r="A14" s="15"/>
      <c r="B14" s="15"/>
      <c r="C14" s="15"/>
      <c r="F14" s="14"/>
      <c r="G14" s="15"/>
      <c r="H14" s="15"/>
      <c r="I14" s="15"/>
      <c r="J14" s="15"/>
      <c r="K14" s="15"/>
      <c r="L14" s="3"/>
      <c r="M14" s="3"/>
      <c r="N14" s="3"/>
      <c r="O14" s="3"/>
      <c r="P14" s="3"/>
      <c r="Q14" s="3"/>
      <c r="R14" s="3"/>
      <c r="S14" s="3"/>
      <c r="T14" s="3"/>
      <c r="U14" s="3"/>
      <c r="V14" s="3"/>
      <c r="W14" s="3"/>
      <c r="X14" s="3"/>
      <c r="Y14" s="3"/>
      <c r="Z14" s="3"/>
      <c r="AA14" s="3"/>
      <c r="AB14" s="3"/>
    </row>
    <row r="15" spans="1:29" ht="18.75" x14ac:dyDescent="0.3">
      <c r="A15" s="15"/>
      <c r="B15" s="15"/>
      <c r="C15" s="15"/>
      <c r="D15" s="14"/>
      <c r="E15" s="15"/>
      <c r="F15" s="15"/>
      <c r="G15" s="15"/>
      <c r="H15" s="15"/>
      <c r="I15" s="15"/>
      <c r="J15" s="15"/>
      <c r="K15" s="15"/>
      <c r="L15" s="15"/>
      <c r="M15" s="3"/>
      <c r="N15" s="3"/>
      <c r="O15" s="3"/>
      <c r="P15" s="3"/>
      <c r="Q15" s="3"/>
      <c r="R15" s="3"/>
      <c r="S15" s="3"/>
      <c r="T15" s="3"/>
      <c r="U15" s="3"/>
      <c r="V15" s="3"/>
      <c r="W15" s="3"/>
      <c r="X15" s="3"/>
      <c r="Y15" s="3"/>
      <c r="Z15" s="3"/>
      <c r="AA15" s="3"/>
      <c r="AB15" s="3"/>
      <c r="AC15" s="3"/>
    </row>
    <row r="16" spans="1:29" ht="18.75" x14ac:dyDescent="0.3">
      <c r="A16" s="15"/>
      <c r="B16" s="15"/>
      <c r="C16" s="15"/>
      <c r="D16" s="14" t="s">
        <v>2</v>
      </c>
      <c r="E16" s="15"/>
      <c r="F16" s="15"/>
      <c r="G16" s="15"/>
      <c r="H16" s="15"/>
      <c r="I16" s="15"/>
      <c r="J16" s="15"/>
      <c r="K16" s="15"/>
      <c r="L16" s="15"/>
      <c r="M16" s="3"/>
      <c r="N16" s="3"/>
      <c r="O16" s="3"/>
      <c r="P16" s="3"/>
      <c r="Q16" s="3"/>
      <c r="R16" s="3"/>
      <c r="S16" s="3"/>
      <c r="T16" s="3"/>
      <c r="U16" s="3"/>
      <c r="V16" s="3"/>
      <c r="W16" s="3"/>
      <c r="X16" s="3"/>
      <c r="Y16" s="3"/>
      <c r="Z16" s="3"/>
      <c r="AA16" s="3"/>
      <c r="AB16" s="3"/>
      <c r="AC16" s="3"/>
    </row>
    <row r="17" spans="1:29" ht="18.75" x14ac:dyDescent="0.3">
      <c r="A17" s="15"/>
      <c r="B17" s="15"/>
      <c r="C17" s="15"/>
      <c r="D17" s="14"/>
      <c r="E17" s="15"/>
      <c r="F17" s="15"/>
      <c r="G17" s="15"/>
      <c r="H17" s="15"/>
      <c r="I17" s="15"/>
      <c r="J17" s="15"/>
      <c r="K17" s="15"/>
      <c r="L17" s="15"/>
      <c r="M17" s="3"/>
      <c r="N17" s="3"/>
      <c r="O17" s="3"/>
      <c r="P17" s="3"/>
      <c r="Q17" s="3"/>
      <c r="R17" s="3"/>
      <c r="S17" s="3"/>
      <c r="T17" s="3"/>
      <c r="U17" s="3"/>
      <c r="V17" s="3"/>
      <c r="W17" s="3"/>
      <c r="X17" s="3"/>
      <c r="Y17" s="3"/>
      <c r="Z17" s="3"/>
      <c r="AA17" s="3"/>
      <c r="AB17" s="3"/>
      <c r="AC17" s="3"/>
    </row>
    <row r="18" spans="1:29" ht="18.75" x14ac:dyDescent="0.3">
      <c r="A18" s="15"/>
      <c r="B18" s="15"/>
      <c r="C18" s="15"/>
      <c r="D18" s="120" t="s">
        <v>3</v>
      </c>
      <c r="E18" s="15"/>
      <c r="F18" s="15"/>
      <c r="G18" s="15"/>
      <c r="H18" s="15"/>
      <c r="I18" s="15"/>
      <c r="J18" s="15"/>
      <c r="K18" s="15"/>
      <c r="L18" s="15"/>
      <c r="M18" s="3"/>
      <c r="N18" s="3"/>
      <c r="O18" s="3"/>
      <c r="P18" s="3"/>
      <c r="Q18" s="3"/>
      <c r="R18" s="3"/>
      <c r="S18" s="3"/>
      <c r="T18" s="3"/>
      <c r="U18" s="3"/>
      <c r="V18" s="3"/>
      <c r="W18" s="3"/>
      <c r="X18" s="3"/>
      <c r="Y18" s="3"/>
      <c r="Z18" s="3"/>
      <c r="AA18" s="3"/>
      <c r="AB18" s="3"/>
      <c r="AC18" s="3"/>
    </row>
    <row r="19" spans="1:29" ht="18.75" x14ac:dyDescent="0.3">
      <c r="A19" s="15"/>
      <c r="B19" s="15"/>
      <c r="C19" s="15"/>
      <c r="D19" s="119" t="s">
        <v>4</v>
      </c>
      <c r="E19" s="15"/>
      <c r="F19" s="15"/>
      <c r="G19" s="15"/>
      <c r="H19" s="15"/>
      <c r="I19" s="15"/>
      <c r="J19" s="15"/>
      <c r="K19" s="15"/>
      <c r="L19" s="15"/>
      <c r="M19" s="3"/>
      <c r="N19" s="3"/>
      <c r="O19" s="3"/>
      <c r="P19" s="3"/>
      <c r="Q19" s="3"/>
      <c r="R19" s="3"/>
      <c r="S19" s="3"/>
      <c r="T19" s="3"/>
      <c r="U19" s="3"/>
      <c r="V19" s="3"/>
      <c r="W19" s="3"/>
      <c r="X19" s="3"/>
      <c r="Y19" s="3"/>
      <c r="Z19" s="3"/>
      <c r="AA19" s="3"/>
      <c r="AB19" s="3"/>
      <c r="AC19" s="3"/>
    </row>
    <row r="20" spans="1:29" ht="15.75" x14ac:dyDescent="0.25">
      <c r="A20" s="15"/>
      <c r="B20" s="15"/>
      <c r="C20" s="15"/>
      <c r="D20" s="10"/>
      <c r="E20" s="15"/>
      <c r="F20" s="15"/>
      <c r="G20" s="15"/>
      <c r="H20" s="15"/>
      <c r="I20" s="15"/>
      <c r="J20" s="15"/>
      <c r="K20" s="15"/>
      <c r="L20" s="15"/>
      <c r="M20" s="3"/>
      <c r="N20" s="3"/>
      <c r="O20" s="3"/>
      <c r="P20" s="3"/>
      <c r="Q20" s="3"/>
      <c r="R20" s="3"/>
      <c r="S20" s="3"/>
      <c r="T20" s="3"/>
      <c r="U20" s="3"/>
      <c r="V20" s="3"/>
      <c r="W20" s="3"/>
      <c r="X20" s="3"/>
      <c r="Y20" s="3"/>
      <c r="Z20" s="3"/>
      <c r="AA20" s="3"/>
      <c r="AB20" s="3"/>
      <c r="AC20" s="3"/>
    </row>
    <row r="21" spans="1:29" ht="15.75" x14ac:dyDescent="0.25">
      <c r="A21" s="15"/>
      <c r="B21" s="15"/>
      <c r="C21" s="15"/>
      <c r="D21" s="11" t="s">
        <v>0</v>
      </c>
      <c r="E21" s="15"/>
      <c r="F21" s="15"/>
      <c r="G21" s="15"/>
      <c r="H21" s="15"/>
      <c r="I21" s="15"/>
      <c r="J21" s="15"/>
      <c r="K21" s="15"/>
      <c r="L21" s="15"/>
      <c r="M21" s="3"/>
      <c r="N21" s="3"/>
      <c r="O21" s="3"/>
      <c r="P21" s="3"/>
      <c r="Q21" s="3"/>
      <c r="R21" s="3"/>
      <c r="S21" s="3"/>
      <c r="T21" s="3"/>
      <c r="U21" s="3"/>
      <c r="V21" s="3"/>
      <c r="W21" s="3"/>
      <c r="X21" s="3"/>
      <c r="Y21" s="3"/>
      <c r="Z21" s="3"/>
      <c r="AA21" s="3"/>
      <c r="AB21" s="3"/>
      <c r="AC21" s="3"/>
    </row>
    <row r="22" spans="1:29" ht="15.75" x14ac:dyDescent="0.25">
      <c r="A22" s="15"/>
      <c r="B22" s="15"/>
      <c r="C22" s="15"/>
      <c r="D22" s="11" t="s">
        <v>5</v>
      </c>
      <c r="E22" s="15"/>
      <c r="F22" s="15"/>
      <c r="G22" s="15"/>
      <c r="H22" s="15"/>
      <c r="I22" s="15"/>
      <c r="J22" s="15"/>
      <c r="K22" s="15"/>
      <c r="L22" s="15"/>
      <c r="M22" s="3"/>
      <c r="N22" s="3"/>
      <c r="O22" s="3"/>
      <c r="P22" s="3"/>
      <c r="Q22" s="3"/>
      <c r="R22" s="3"/>
      <c r="S22" s="3"/>
      <c r="T22" s="3"/>
      <c r="U22" s="3"/>
      <c r="V22" s="3"/>
      <c r="W22" s="3"/>
      <c r="X22" s="3"/>
      <c r="Y22" s="3"/>
      <c r="Z22" s="3"/>
      <c r="AA22" s="3"/>
      <c r="AB22" s="3"/>
      <c r="AC22" s="3"/>
    </row>
    <row r="23" spans="1:29" ht="15.75" x14ac:dyDescent="0.25">
      <c r="A23" s="15"/>
      <c r="B23" s="15"/>
      <c r="C23" s="15"/>
      <c r="D23" s="11" t="s">
        <v>202</v>
      </c>
      <c r="E23" s="15"/>
      <c r="F23" s="15"/>
      <c r="G23" s="15"/>
      <c r="H23" s="15"/>
      <c r="I23" s="15"/>
      <c r="J23" s="15"/>
      <c r="K23" s="15"/>
      <c r="L23" s="15"/>
      <c r="M23" s="3"/>
      <c r="N23" s="3"/>
      <c r="O23" s="3"/>
      <c r="P23" s="3"/>
      <c r="Q23" s="3"/>
      <c r="R23" s="3"/>
      <c r="S23" s="3"/>
      <c r="T23" s="3"/>
      <c r="U23" s="3"/>
      <c r="V23" s="3"/>
      <c r="W23" s="3"/>
      <c r="X23" s="3"/>
      <c r="Y23" s="3"/>
      <c r="Z23" s="3"/>
      <c r="AA23" s="3"/>
      <c r="AB23" s="3"/>
      <c r="AC23" s="3"/>
    </row>
    <row r="24" spans="1:29" ht="15.75" x14ac:dyDescent="0.25">
      <c r="A24" s="15"/>
      <c r="B24" s="15"/>
      <c r="C24" s="15"/>
      <c r="D24" s="11" t="s">
        <v>6</v>
      </c>
      <c r="E24" s="15"/>
      <c r="F24" s="15"/>
      <c r="G24" s="15"/>
      <c r="H24" s="15"/>
      <c r="I24" s="15"/>
      <c r="J24" s="15"/>
      <c r="K24" s="15"/>
      <c r="L24" s="15"/>
      <c r="M24" s="3"/>
      <c r="N24" s="3"/>
      <c r="O24" s="3"/>
      <c r="P24" s="3"/>
      <c r="Q24" s="3"/>
      <c r="R24" s="3"/>
      <c r="S24" s="3"/>
      <c r="T24" s="3"/>
      <c r="U24" s="3"/>
      <c r="V24" s="3"/>
      <c r="W24" s="3"/>
      <c r="X24" s="3"/>
      <c r="Y24" s="3"/>
      <c r="Z24" s="3"/>
      <c r="AA24" s="3"/>
      <c r="AB24" s="3"/>
      <c r="AC24" s="3"/>
    </row>
    <row r="25" spans="1:29" ht="15.75" x14ac:dyDescent="0.25">
      <c r="A25" s="15"/>
      <c r="B25" s="15"/>
      <c r="C25" s="15"/>
      <c r="D25" s="12" t="s">
        <v>93</v>
      </c>
      <c r="E25" s="15"/>
      <c r="F25" s="15"/>
      <c r="G25" s="15"/>
      <c r="H25" s="15"/>
      <c r="I25" s="15"/>
      <c r="J25" s="15"/>
      <c r="K25" s="15"/>
      <c r="L25" s="15"/>
      <c r="M25" s="3"/>
      <c r="N25" s="3"/>
      <c r="O25" s="3"/>
      <c r="P25" s="3"/>
      <c r="Q25" s="3"/>
      <c r="R25" s="3"/>
      <c r="S25" s="3"/>
      <c r="T25" s="3"/>
      <c r="U25" s="3"/>
      <c r="V25" s="3"/>
      <c r="W25" s="3"/>
      <c r="X25" s="3"/>
      <c r="Y25" s="3"/>
      <c r="Z25" s="3"/>
      <c r="AA25" s="3"/>
      <c r="AB25" s="3"/>
      <c r="AC25" s="3"/>
    </row>
    <row r="26" spans="1:29" ht="15.75" x14ac:dyDescent="0.25">
      <c r="A26" s="15"/>
      <c r="B26" s="15"/>
      <c r="C26" s="15"/>
      <c r="D26" s="12" t="s">
        <v>7</v>
      </c>
      <c r="E26" s="15"/>
      <c r="F26" s="15"/>
      <c r="G26" s="15"/>
      <c r="H26" s="15"/>
      <c r="I26" s="15"/>
      <c r="J26" s="15"/>
      <c r="K26" s="15"/>
      <c r="L26" s="15"/>
      <c r="M26" s="3"/>
      <c r="N26" s="3"/>
      <c r="O26" s="3"/>
      <c r="P26" s="3"/>
      <c r="Q26" s="3"/>
      <c r="R26" s="3"/>
      <c r="S26" s="3"/>
      <c r="T26" s="3"/>
      <c r="U26" s="3"/>
      <c r="V26" s="3"/>
      <c r="W26" s="3"/>
      <c r="X26" s="3"/>
      <c r="Y26" s="3"/>
      <c r="Z26" s="3"/>
      <c r="AA26" s="3"/>
      <c r="AB26" s="3"/>
      <c r="AC26" s="3"/>
    </row>
    <row r="27" spans="1:29" x14ac:dyDescent="0.2">
      <c r="A27" s="15"/>
      <c r="B27" s="15"/>
      <c r="C27" s="15"/>
      <c r="D27" s="15"/>
      <c r="E27" s="15"/>
      <c r="F27" s="15"/>
      <c r="G27" s="15"/>
      <c r="H27" s="15"/>
      <c r="I27" s="15"/>
      <c r="J27" s="15"/>
      <c r="K27" s="15"/>
      <c r="L27" s="15"/>
      <c r="M27" s="3"/>
      <c r="N27" s="3"/>
      <c r="O27" s="3"/>
      <c r="P27" s="3"/>
      <c r="Q27" s="3"/>
      <c r="R27" s="3"/>
      <c r="S27" s="3"/>
      <c r="T27" s="3"/>
      <c r="U27" s="3"/>
      <c r="V27" s="3"/>
      <c r="W27" s="3"/>
      <c r="X27" s="3"/>
      <c r="Y27" s="3"/>
      <c r="Z27" s="3"/>
      <c r="AA27" s="3"/>
      <c r="AB27" s="3"/>
      <c r="AC27" s="3"/>
    </row>
    <row r="28" spans="1:29" x14ac:dyDescent="0.2">
      <c r="A28" s="15"/>
      <c r="B28" s="15"/>
      <c r="C28" s="15"/>
      <c r="D28" s="15"/>
      <c r="E28" s="15"/>
      <c r="F28" s="15"/>
      <c r="G28" s="15"/>
      <c r="H28" s="15"/>
      <c r="I28" s="15"/>
      <c r="J28" s="15"/>
      <c r="K28" s="15"/>
      <c r="L28" s="15"/>
      <c r="M28" s="3"/>
      <c r="N28" s="3"/>
      <c r="O28" s="3"/>
      <c r="P28" s="3"/>
      <c r="Q28" s="3"/>
      <c r="R28" s="3"/>
      <c r="S28" s="3"/>
      <c r="T28" s="3"/>
      <c r="U28" s="3"/>
      <c r="V28" s="3"/>
      <c r="W28" s="3"/>
      <c r="X28" s="3"/>
      <c r="Y28" s="3"/>
      <c r="Z28" s="3"/>
      <c r="AA28" s="3"/>
      <c r="AB28" s="3"/>
      <c r="AC28" s="3"/>
    </row>
    <row r="29" spans="1:29" x14ac:dyDescent="0.2">
      <c r="A29" s="15"/>
      <c r="B29" s="15"/>
      <c r="C29" s="15"/>
      <c r="D29" s="15"/>
      <c r="E29" s="15"/>
      <c r="F29" s="15"/>
      <c r="G29" s="15"/>
      <c r="H29" s="15"/>
      <c r="I29" s="15"/>
      <c r="J29" s="15"/>
      <c r="K29" s="15"/>
      <c r="L29" s="15"/>
      <c r="M29" s="3"/>
      <c r="N29" s="3"/>
      <c r="O29" s="3"/>
      <c r="P29" s="3"/>
      <c r="Q29" s="3"/>
      <c r="R29" s="3"/>
      <c r="S29" s="3"/>
      <c r="T29" s="3"/>
      <c r="U29" s="3"/>
      <c r="V29" s="3"/>
      <c r="W29" s="3"/>
      <c r="X29" s="3"/>
      <c r="Y29" s="3"/>
      <c r="Z29" s="3"/>
      <c r="AA29" s="3"/>
      <c r="AB29" s="3"/>
      <c r="AC29" s="3"/>
    </row>
    <row r="30" spans="1:29" x14ac:dyDescent="0.2">
      <c r="A30" s="15"/>
      <c r="B30" s="15"/>
      <c r="C30" s="15"/>
      <c r="D30" s="15"/>
      <c r="E30" s="15"/>
      <c r="F30" s="15"/>
      <c r="G30" s="15"/>
      <c r="H30" s="15"/>
      <c r="I30" s="15"/>
      <c r="J30" s="15"/>
      <c r="K30" s="15"/>
      <c r="L30" s="15"/>
      <c r="M30" s="3"/>
      <c r="N30" s="3"/>
      <c r="O30" s="3"/>
      <c r="P30" s="3"/>
      <c r="Q30" s="3"/>
      <c r="R30" s="3"/>
      <c r="S30" s="3"/>
      <c r="T30" s="3"/>
      <c r="U30" s="3"/>
      <c r="V30" s="3"/>
      <c r="W30" s="3"/>
      <c r="X30" s="3"/>
      <c r="Y30" s="3"/>
      <c r="Z30" s="3"/>
      <c r="AA30" s="3"/>
      <c r="AB30" s="3"/>
      <c r="AC30" s="3"/>
    </row>
    <row r="31" spans="1:29" x14ac:dyDescent="0.2">
      <c r="A31" s="15"/>
      <c r="B31" s="15"/>
      <c r="C31" s="15"/>
      <c r="D31" s="15"/>
      <c r="E31" s="15"/>
      <c r="F31" s="15"/>
      <c r="G31" s="15"/>
      <c r="H31" s="15"/>
      <c r="I31" s="15"/>
      <c r="J31" s="15"/>
      <c r="K31" s="15"/>
      <c r="L31" s="15"/>
      <c r="M31" s="3"/>
      <c r="N31" s="3"/>
      <c r="O31" s="3"/>
      <c r="P31" s="3"/>
      <c r="Q31" s="3"/>
      <c r="R31" s="3"/>
      <c r="S31" s="3"/>
      <c r="T31" s="3"/>
      <c r="U31" s="3"/>
      <c r="V31" s="3"/>
      <c r="W31" s="3"/>
      <c r="X31" s="3"/>
      <c r="Y31" s="3"/>
      <c r="Z31" s="3"/>
      <c r="AA31" s="3"/>
      <c r="AB31" s="3"/>
      <c r="AC31" s="3"/>
    </row>
    <row r="32" spans="1:29" x14ac:dyDescent="0.2">
      <c r="A32" s="15"/>
      <c r="B32" s="15"/>
      <c r="C32" s="15"/>
      <c r="D32" s="15"/>
      <c r="E32" s="15"/>
      <c r="F32" s="15"/>
      <c r="G32" s="15"/>
      <c r="H32" s="15"/>
      <c r="I32" s="15"/>
      <c r="J32" s="15"/>
      <c r="K32" s="15"/>
      <c r="L32" s="15"/>
      <c r="M32" s="3"/>
      <c r="N32" s="3"/>
      <c r="O32" s="3"/>
      <c r="P32" s="3"/>
      <c r="Q32" s="3"/>
      <c r="R32" s="3"/>
      <c r="S32" s="3"/>
      <c r="T32" s="3"/>
      <c r="U32" s="3"/>
      <c r="V32" s="3"/>
      <c r="W32" s="3"/>
      <c r="X32" s="3"/>
      <c r="Y32" s="3"/>
      <c r="Z32" s="3"/>
      <c r="AA32" s="3"/>
      <c r="AB32" s="3"/>
      <c r="AC32" s="3"/>
    </row>
    <row r="33" spans="1:29" x14ac:dyDescent="0.2">
      <c r="A33" s="15"/>
      <c r="B33" s="15"/>
      <c r="C33" s="15"/>
      <c r="D33" s="15"/>
      <c r="E33" s="15"/>
      <c r="F33" s="15"/>
      <c r="G33" s="15"/>
      <c r="H33" s="15"/>
      <c r="I33" s="15"/>
      <c r="J33" s="15"/>
      <c r="K33" s="15"/>
      <c r="L33" s="15"/>
      <c r="M33" s="3"/>
      <c r="N33" s="3"/>
      <c r="O33" s="3"/>
      <c r="P33" s="3"/>
      <c r="Q33" s="3"/>
      <c r="R33" s="3"/>
      <c r="S33" s="3"/>
      <c r="T33" s="3"/>
      <c r="U33" s="3"/>
      <c r="V33" s="3"/>
      <c r="W33" s="3"/>
      <c r="X33" s="3"/>
      <c r="Y33" s="3"/>
      <c r="Z33" s="3"/>
      <c r="AA33" s="3"/>
      <c r="AB33" s="3"/>
      <c r="AC33" s="3"/>
    </row>
    <row r="34" spans="1:29" x14ac:dyDescent="0.2">
      <c r="A34" s="15"/>
      <c r="B34" s="15"/>
      <c r="C34" s="15"/>
      <c r="D34" s="15"/>
      <c r="E34" s="15"/>
      <c r="F34" s="15"/>
      <c r="G34" s="15"/>
      <c r="H34" s="15"/>
      <c r="I34" s="15"/>
      <c r="J34" s="15"/>
      <c r="K34" s="15"/>
      <c r="L34" s="15"/>
      <c r="M34" s="3"/>
      <c r="N34" s="3"/>
      <c r="O34" s="3"/>
      <c r="P34" s="3"/>
      <c r="Q34" s="3"/>
      <c r="R34" s="3"/>
      <c r="S34" s="3"/>
      <c r="T34" s="3"/>
      <c r="U34" s="3"/>
      <c r="V34" s="3"/>
      <c r="W34" s="3"/>
      <c r="X34" s="3"/>
      <c r="Y34" s="3"/>
      <c r="Z34" s="3"/>
      <c r="AA34" s="3"/>
      <c r="AB34" s="3"/>
      <c r="AC34" s="3"/>
    </row>
    <row r="35" spans="1:29" x14ac:dyDescent="0.2">
      <c r="A35" s="6"/>
      <c r="B35" s="6"/>
      <c r="C35" s="6"/>
      <c r="D35" s="6"/>
      <c r="E35" s="6"/>
      <c r="F35" s="6"/>
      <c r="G35" s="6"/>
      <c r="H35" s="6"/>
      <c r="I35" s="6"/>
      <c r="J35" s="6"/>
      <c r="K35" s="6"/>
      <c r="L35" s="6"/>
    </row>
    <row r="36" spans="1:29" x14ac:dyDescent="0.2">
      <c r="A36" s="6"/>
      <c r="B36" s="6"/>
      <c r="C36" s="6"/>
      <c r="D36" s="6"/>
      <c r="E36" s="6"/>
      <c r="F36" s="6"/>
      <c r="G36" s="6"/>
      <c r="H36" s="6"/>
      <c r="I36" s="6"/>
      <c r="J36" s="6"/>
      <c r="K36" s="6"/>
      <c r="L36" s="6"/>
    </row>
    <row r="37" spans="1:29" x14ac:dyDescent="0.2">
      <c r="A37" s="6"/>
      <c r="B37" s="6"/>
      <c r="C37" s="6"/>
      <c r="D37" s="6"/>
      <c r="E37" s="6"/>
      <c r="F37" s="6"/>
      <c r="G37" s="6"/>
      <c r="H37" s="6"/>
      <c r="I37" s="6"/>
      <c r="J37" s="6"/>
      <c r="K37" s="6"/>
      <c r="L37" s="6"/>
    </row>
    <row r="38" spans="1:29" x14ac:dyDescent="0.2">
      <c r="A38" s="6"/>
      <c r="B38" s="6"/>
      <c r="C38" s="6"/>
      <c r="D38" s="6"/>
      <c r="E38" s="6"/>
      <c r="F38" s="6"/>
      <c r="G38" s="6"/>
      <c r="H38" s="6"/>
      <c r="I38" s="6"/>
      <c r="J38" s="6"/>
      <c r="K38" s="6"/>
      <c r="L38" s="6"/>
    </row>
    <row r="39" spans="1:29" x14ac:dyDescent="0.2">
      <c r="A39" s="6"/>
      <c r="B39" s="6"/>
      <c r="C39" s="6"/>
      <c r="D39" s="6"/>
      <c r="E39" s="6"/>
      <c r="F39" s="6"/>
      <c r="G39" s="6"/>
      <c r="H39" s="6"/>
      <c r="I39" s="6"/>
      <c r="J39" s="6"/>
      <c r="K39" s="6"/>
      <c r="L39" s="6"/>
    </row>
    <row r="40" spans="1:29" x14ac:dyDescent="0.2">
      <c r="A40" s="6"/>
      <c r="B40" s="6"/>
      <c r="C40" s="6"/>
      <c r="D40" s="6"/>
      <c r="E40" s="6"/>
      <c r="F40" s="6"/>
      <c r="G40" s="6"/>
      <c r="H40" s="6"/>
      <c r="I40" s="6"/>
      <c r="J40" s="6"/>
      <c r="K40" s="6"/>
      <c r="L40" s="6"/>
    </row>
    <row r="41" spans="1:29" x14ac:dyDescent="0.2">
      <c r="A41" s="6"/>
      <c r="B41" s="6"/>
      <c r="C41" s="6"/>
      <c r="D41" s="6"/>
      <c r="E41" s="6"/>
      <c r="F41" s="6"/>
      <c r="G41" s="6"/>
      <c r="H41" s="6"/>
      <c r="I41" s="6"/>
      <c r="J41" s="6"/>
      <c r="K41" s="6"/>
      <c r="L41" s="6"/>
    </row>
    <row r="42" spans="1:29" x14ac:dyDescent="0.2">
      <c r="A42" s="6"/>
      <c r="B42" s="6"/>
      <c r="C42" s="6"/>
      <c r="D42" s="6"/>
      <c r="E42" s="6"/>
      <c r="F42" s="6"/>
      <c r="G42" s="6"/>
      <c r="H42" s="6"/>
      <c r="I42" s="6"/>
      <c r="J42" s="6"/>
      <c r="K42" s="6"/>
      <c r="L42" s="6"/>
    </row>
    <row r="43" spans="1:29" x14ac:dyDescent="0.2">
      <c r="A43" s="6"/>
      <c r="B43" s="6"/>
      <c r="C43" s="6"/>
      <c r="D43" s="6"/>
      <c r="E43" s="6"/>
      <c r="F43" s="6"/>
      <c r="G43" s="6"/>
      <c r="H43" s="6"/>
      <c r="I43" s="6"/>
      <c r="J43" s="6"/>
      <c r="K43" s="6"/>
      <c r="L43" s="6"/>
    </row>
    <row r="44" spans="1:29" x14ac:dyDescent="0.2">
      <c r="A44" s="6"/>
      <c r="B44" s="6"/>
      <c r="C44" s="6"/>
      <c r="D44" s="6"/>
      <c r="E44" s="6"/>
      <c r="F44" s="6"/>
      <c r="G44" s="6"/>
      <c r="H44" s="6"/>
      <c r="I44" s="6"/>
      <c r="J44" s="6"/>
      <c r="K44" s="6"/>
      <c r="L44" s="6"/>
    </row>
    <row r="45" spans="1:29" x14ac:dyDescent="0.2">
      <c r="A45" s="6"/>
      <c r="B45" s="6"/>
      <c r="C45" s="6"/>
      <c r="D45" s="6"/>
      <c r="E45" s="6"/>
      <c r="F45" s="6"/>
      <c r="G45" s="6"/>
      <c r="H45" s="6"/>
      <c r="I45" s="6"/>
      <c r="J45" s="6"/>
      <c r="K45" s="6"/>
      <c r="L45" s="6"/>
    </row>
    <row r="46" spans="1:29" x14ac:dyDescent="0.2">
      <c r="A46" s="6"/>
      <c r="B46" s="6"/>
      <c r="C46" s="6"/>
      <c r="D46" s="6"/>
      <c r="E46" s="6"/>
      <c r="F46" s="6"/>
      <c r="G46" s="6"/>
      <c r="H46" s="6"/>
      <c r="I46" s="6"/>
      <c r="J46" s="6"/>
      <c r="K46" s="6"/>
      <c r="L46" s="6"/>
    </row>
    <row r="47" spans="1:29" x14ac:dyDescent="0.2">
      <c r="A47" s="6"/>
      <c r="B47" s="6"/>
      <c r="C47" s="6"/>
      <c r="D47" s="6"/>
      <c r="E47" s="6"/>
      <c r="F47" s="6"/>
      <c r="G47" s="6"/>
      <c r="H47" s="6"/>
      <c r="I47" s="6"/>
      <c r="J47" s="6"/>
      <c r="K47" s="6"/>
      <c r="L47" s="6"/>
    </row>
    <row r="48" spans="1:29"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row r="99" spans="1:12" x14ac:dyDescent="0.2">
      <c r="A99" s="6"/>
      <c r="B99" s="6"/>
      <c r="C99" s="6"/>
      <c r="D99" s="6"/>
      <c r="E99" s="6"/>
      <c r="F99" s="6"/>
      <c r="G99" s="6"/>
      <c r="H99" s="6"/>
      <c r="I99" s="6"/>
      <c r="J99" s="6"/>
      <c r="K99" s="6"/>
      <c r="L99" s="6"/>
    </row>
    <row r="100" spans="1:12" x14ac:dyDescent="0.2">
      <c r="A100" s="6"/>
      <c r="B100" s="6"/>
      <c r="C100" s="6"/>
      <c r="D100" s="6"/>
      <c r="E100" s="6"/>
      <c r="F100" s="6"/>
      <c r="G100" s="6"/>
      <c r="H100" s="6"/>
      <c r="I100" s="6"/>
      <c r="J100" s="6"/>
      <c r="K100" s="6"/>
      <c r="L100" s="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28"/>
  <sheetViews>
    <sheetView workbookViewId="0"/>
  </sheetViews>
  <sheetFormatPr defaultRowHeight="15.75" x14ac:dyDescent="0.25"/>
  <cols>
    <col min="1" max="1" width="4.7109375" style="1" customWidth="1"/>
    <col min="2" max="2" width="14.7109375" style="1" customWidth="1"/>
    <col min="3" max="3" width="27.42578125" style="1" customWidth="1"/>
    <col min="4" max="26" width="14.7109375" style="1" customWidth="1"/>
    <col min="27" max="36" width="10.7109375" style="1" customWidth="1"/>
    <col min="37" max="16384" width="9.140625" style="1"/>
  </cols>
  <sheetData>
    <row r="1" spans="1:11" ht="16.5" thickBot="1" x14ac:dyDescent="0.3"/>
    <row r="2" spans="1:11" s="13" customFormat="1" ht="21" x14ac:dyDescent="0.35">
      <c r="B2" s="57" t="s">
        <v>96</v>
      </c>
      <c r="C2" s="58"/>
      <c r="D2" s="58"/>
      <c r="E2" s="59"/>
    </row>
    <row r="3" spans="1:11" s="2" customFormat="1" ht="21.75" thickBot="1" x14ac:dyDescent="0.4">
      <c r="B3" s="60" t="s">
        <v>97</v>
      </c>
      <c r="C3" s="61"/>
      <c r="D3" s="61"/>
      <c r="E3" s="62"/>
    </row>
    <row r="5" spans="1:11" ht="47.25" customHeight="1" x14ac:dyDescent="0.25">
      <c r="A5" s="198" t="s">
        <v>98</v>
      </c>
      <c r="B5" s="198"/>
      <c r="C5" s="198"/>
      <c r="D5" s="198"/>
      <c r="E5" s="198"/>
      <c r="F5" s="198"/>
      <c r="G5" s="198"/>
      <c r="H5" s="198"/>
      <c r="I5" s="198"/>
      <c r="J5" s="198"/>
      <c r="K5" s="198"/>
    </row>
    <row r="7" spans="1:11" s="17" customFormat="1" x14ac:dyDescent="0.25">
      <c r="D7" s="77" t="s">
        <v>80</v>
      </c>
      <c r="E7" s="77" t="s">
        <v>81</v>
      </c>
      <c r="F7" s="77" t="s">
        <v>82</v>
      </c>
      <c r="G7" s="77" t="s">
        <v>83</v>
      </c>
      <c r="H7" s="77" t="s">
        <v>84</v>
      </c>
    </row>
    <row r="8" spans="1:11" x14ac:dyDescent="0.25">
      <c r="B8" s="17" t="s">
        <v>215</v>
      </c>
      <c r="D8" s="121">
        <v>5000</v>
      </c>
      <c r="E8" s="121">
        <v>8000</v>
      </c>
      <c r="F8" s="121">
        <v>12000</v>
      </c>
      <c r="G8" s="121">
        <v>10000</v>
      </c>
      <c r="H8" s="121">
        <v>6000</v>
      </c>
    </row>
    <row r="9" spans="1:11" x14ac:dyDescent="0.25">
      <c r="B9" s="17" t="s">
        <v>216</v>
      </c>
      <c r="D9" s="122">
        <v>20</v>
      </c>
      <c r="E9" s="123"/>
      <c r="F9" s="123"/>
      <c r="G9" s="123"/>
      <c r="H9" s="123"/>
    </row>
    <row r="10" spans="1:11" s="17" customFormat="1" x14ac:dyDescent="0.25">
      <c r="B10" s="17" t="s">
        <v>217</v>
      </c>
      <c r="D10" s="124">
        <v>0.02</v>
      </c>
      <c r="E10" s="123"/>
      <c r="F10" s="123"/>
      <c r="G10" s="123"/>
      <c r="H10" s="123"/>
    </row>
    <row r="11" spans="1:11" s="17" customFormat="1" x14ac:dyDescent="0.25">
      <c r="B11" s="17" t="s">
        <v>99</v>
      </c>
      <c r="D11" s="124">
        <v>0.05</v>
      </c>
      <c r="E11" s="123"/>
      <c r="F11" s="123"/>
      <c r="G11" s="123"/>
      <c r="H11" s="123"/>
    </row>
    <row r="12" spans="1:11" s="17" customFormat="1" x14ac:dyDescent="0.25">
      <c r="B12" s="17" t="s">
        <v>24</v>
      </c>
      <c r="D12" s="124">
        <v>0.21</v>
      </c>
      <c r="E12" s="123"/>
      <c r="F12" s="123"/>
      <c r="G12" s="123"/>
      <c r="H12" s="123"/>
    </row>
    <row r="13" spans="1:11" s="17" customFormat="1" x14ac:dyDescent="0.25">
      <c r="B13" s="17" t="s">
        <v>218</v>
      </c>
      <c r="D13" s="122">
        <v>10</v>
      </c>
      <c r="E13" s="123"/>
      <c r="F13" s="123"/>
      <c r="G13" s="123"/>
      <c r="H13" s="123"/>
    </row>
    <row r="14" spans="1:11" s="17" customFormat="1" x14ac:dyDescent="0.25">
      <c r="B14" s="17" t="s">
        <v>219</v>
      </c>
      <c r="D14" s="124">
        <v>0.1</v>
      </c>
      <c r="E14" s="123"/>
      <c r="F14" s="123"/>
      <c r="G14" s="123"/>
      <c r="H14" s="123"/>
    </row>
    <row r="15" spans="1:11" s="17" customFormat="1" x14ac:dyDescent="0.25">
      <c r="B15" s="17" t="s">
        <v>220</v>
      </c>
      <c r="D15" s="125">
        <v>10000</v>
      </c>
      <c r="E15" s="123"/>
      <c r="F15" s="123"/>
      <c r="G15" s="123"/>
      <c r="H15" s="123"/>
    </row>
    <row r="16" spans="1:11" s="17" customFormat="1" x14ac:dyDescent="0.25">
      <c r="B16" s="17" t="s">
        <v>221</v>
      </c>
      <c r="D16" s="124">
        <v>0.1</v>
      </c>
      <c r="E16" s="123"/>
      <c r="F16" s="123"/>
      <c r="G16" s="123"/>
      <c r="H16" s="123"/>
    </row>
    <row r="17" spans="1:10" s="17" customFormat="1" x14ac:dyDescent="0.25">
      <c r="B17" s="17" t="s">
        <v>222</v>
      </c>
      <c r="D17" s="126">
        <v>0.2</v>
      </c>
      <c r="E17" s="126">
        <v>0.32</v>
      </c>
      <c r="F17" s="126">
        <v>0.192</v>
      </c>
      <c r="G17" s="126">
        <v>0.1152</v>
      </c>
      <c r="H17" s="126">
        <v>0.1152</v>
      </c>
    </row>
    <row r="18" spans="1:10" s="17" customFormat="1" x14ac:dyDescent="0.25">
      <c r="B18" s="17" t="s">
        <v>100</v>
      </c>
      <c r="D18" s="125">
        <v>100000</v>
      </c>
      <c r="E18" s="123"/>
      <c r="F18" s="123"/>
      <c r="G18" s="123"/>
      <c r="H18" s="123"/>
    </row>
    <row r="19" spans="1:10" x14ac:dyDescent="0.25">
      <c r="B19" s="17" t="s">
        <v>223</v>
      </c>
      <c r="D19" s="125">
        <v>150000</v>
      </c>
      <c r="E19" s="123"/>
      <c r="F19" s="123"/>
      <c r="G19" s="123"/>
      <c r="H19" s="123"/>
    </row>
    <row r="20" spans="1:10" x14ac:dyDescent="0.25">
      <c r="B20" s="17" t="s">
        <v>41</v>
      </c>
      <c r="D20" s="125">
        <v>30000</v>
      </c>
      <c r="E20" s="123"/>
      <c r="F20" s="123"/>
      <c r="G20" s="123"/>
      <c r="H20" s="123"/>
    </row>
    <row r="21" spans="1:10" s="17" customFormat="1" x14ac:dyDescent="0.25">
      <c r="D21" s="19"/>
    </row>
    <row r="22" spans="1:10" x14ac:dyDescent="0.25">
      <c r="A22" s="17" t="s">
        <v>101</v>
      </c>
    </row>
    <row r="24" spans="1:10" x14ac:dyDescent="0.25">
      <c r="B24" s="35"/>
      <c r="C24" s="36"/>
      <c r="D24" s="75" t="s">
        <v>80</v>
      </c>
      <c r="E24" s="75" t="s">
        <v>81</v>
      </c>
      <c r="F24" s="75" t="s">
        <v>82</v>
      </c>
      <c r="G24" s="75" t="s">
        <v>83</v>
      </c>
      <c r="H24" s="76" t="s">
        <v>84</v>
      </c>
    </row>
    <row r="25" spans="1:10" s="17" customFormat="1" x14ac:dyDescent="0.25">
      <c r="B25" s="37" t="s">
        <v>10</v>
      </c>
      <c r="C25" s="38"/>
      <c r="D25" s="127">
        <f>$D$18*D17</f>
        <v>20000</v>
      </c>
      <c r="E25" s="127">
        <f t="shared" ref="E25:H25" si="0">$D$18*E17</f>
        <v>32000</v>
      </c>
      <c r="F25" s="127">
        <f t="shared" si="0"/>
        <v>19200</v>
      </c>
      <c r="G25" s="127">
        <f t="shared" si="0"/>
        <v>11520</v>
      </c>
      <c r="H25" s="128">
        <f t="shared" si="0"/>
        <v>11520</v>
      </c>
    </row>
    <row r="26" spans="1:10" x14ac:dyDescent="0.25">
      <c r="B26" s="37" t="s">
        <v>102</v>
      </c>
      <c r="C26" s="38"/>
      <c r="D26" s="129">
        <f>D25</f>
        <v>20000</v>
      </c>
      <c r="E26" s="129">
        <f>D26+E25</f>
        <v>52000</v>
      </c>
      <c r="F26" s="129">
        <f t="shared" ref="F26:H26" si="1">E26+F25</f>
        <v>71200</v>
      </c>
      <c r="G26" s="129">
        <f t="shared" si="1"/>
        <v>82720</v>
      </c>
      <c r="H26" s="130">
        <f t="shared" si="1"/>
        <v>94240</v>
      </c>
    </row>
    <row r="27" spans="1:10" x14ac:dyDescent="0.25">
      <c r="B27" s="37" t="s">
        <v>103</v>
      </c>
      <c r="C27" s="38"/>
      <c r="D27" s="129">
        <f>$D$18-D26</f>
        <v>80000</v>
      </c>
      <c r="E27" s="129">
        <f t="shared" ref="E27:H27" si="2">$D$18-E26</f>
        <v>48000</v>
      </c>
      <c r="F27" s="129">
        <f t="shared" si="2"/>
        <v>28800</v>
      </c>
      <c r="G27" s="129">
        <f t="shared" si="2"/>
        <v>17280</v>
      </c>
      <c r="H27" s="130">
        <f t="shared" si="2"/>
        <v>5760</v>
      </c>
      <c r="J27" s="111"/>
    </row>
    <row r="28" spans="1:10" x14ac:dyDescent="0.25">
      <c r="B28" s="37" t="s">
        <v>42</v>
      </c>
      <c r="C28" s="38"/>
      <c r="D28" s="131">
        <f>D9</f>
        <v>20</v>
      </c>
      <c r="E28" s="131">
        <f>D28*(1+$D$10)</f>
        <v>20.399999999999999</v>
      </c>
      <c r="F28" s="131">
        <f t="shared" ref="F28:H28" si="3">E28*(1+$D$10)</f>
        <v>20.808</v>
      </c>
      <c r="G28" s="131">
        <f t="shared" si="3"/>
        <v>21.224160000000001</v>
      </c>
      <c r="H28" s="132">
        <f t="shared" si="3"/>
        <v>21.648643200000002</v>
      </c>
    </row>
    <row r="29" spans="1:10" x14ac:dyDescent="0.25">
      <c r="B29" s="37" t="s">
        <v>104</v>
      </c>
      <c r="C29" s="38"/>
      <c r="D29" s="129">
        <f>D28*D8</f>
        <v>100000</v>
      </c>
      <c r="E29" s="129">
        <f>E28*E8</f>
        <v>163200</v>
      </c>
      <c r="F29" s="129">
        <f>F28*F8</f>
        <v>249696</v>
      </c>
      <c r="G29" s="129">
        <f>G28*G8</f>
        <v>212241.6</v>
      </c>
      <c r="H29" s="130">
        <f>H28*H8</f>
        <v>129891.85920000001</v>
      </c>
    </row>
    <row r="30" spans="1:10" x14ac:dyDescent="0.25">
      <c r="B30" s="37" t="s">
        <v>105</v>
      </c>
      <c r="C30" s="38"/>
      <c r="D30" s="131">
        <f>D13</f>
        <v>10</v>
      </c>
      <c r="E30" s="131">
        <f>D30*(1+$D$14)</f>
        <v>11</v>
      </c>
      <c r="F30" s="131">
        <f t="shared" ref="F30:H30" si="4">E30*(1+$D$14)</f>
        <v>12.100000000000001</v>
      </c>
      <c r="G30" s="131">
        <f t="shared" si="4"/>
        <v>13.310000000000002</v>
      </c>
      <c r="H30" s="132">
        <f t="shared" si="4"/>
        <v>14.641000000000004</v>
      </c>
    </row>
    <row r="31" spans="1:10" x14ac:dyDescent="0.25">
      <c r="B31" s="39" t="s">
        <v>106</v>
      </c>
      <c r="C31" s="40"/>
      <c r="D31" s="133">
        <f>D30*D8</f>
        <v>50000</v>
      </c>
      <c r="E31" s="133">
        <f>E30*E8</f>
        <v>88000</v>
      </c>
      <c r="F31" s="133">
        <f>F30*F8</f>
        <v>145200.00000000003</v>
      </c>
      <c r="G31" s="133">
        <f>G30*G8</f>
        <v>133100.00000000003</v>
      </c>
      <c r="H31" s="134">
        <f>H30*H8</f>
        <v>87846.000000000015</v>
      </c>
    </row>
    <row r="33" spans="1:11" ht="31.5" customHeight="1" x14ac:dyDescent="0.25">
      <c r="A33" s="198" t="s">
        <v>109</v>
      </c>
      <c r="B33" s="198"/>
      <c r="C33" s="198"/>
      <c r="D33" s="198"/>
      <c r="E33" s="198"/>
      <c r="F33" s="198"/>
      <c r="G33" s="198"/>
      <c r="H33" s="198"/>
      <c r="I33" s="198"/>
      <c r="J33" s="198"/>
      <c r="K33" s="198"/>
    </row>
    <row r="35" spans="1:11" s="17" customFormat="1" x14ac:dyDescent="0.25">
      <c r="B35" s="35" t="s">
        <v>19</v>
      </c>
      <c r="C35" s="36"/>
      <c r="D35" s="36"/>
      <c r="E35" s="36"/>
      <c r="F35" s="36"/>
      <c r="G35" s="36"/>
      <c r="H35" s="78"/>
    </row>
    <row r="36" spans="1:11" x14ac:dyDescent="0.25">
      <c r="B36" s="37" t="s">
        <v>108</v>
      </c>
      <c r="C36" s="38"/>
      <c r="D36" s="127">
        <f>D15</f>
        <v>10000</v>
      </c>
      <c r="E36" s="127">
        <f>D37</f>
        <v>10000</v>
      </c>
      <c r="F36" s="127">
        <f t="shared" ref="F36:H36" si="5">E37</f>
        <v>16320</v>
      </c>
      <c r="G36" s="127">
        <f t="shared" si="5"/>
        <v>24969.600000000002</v>
      </c>
      <c r="H36" s="128">
        <f t="shared" si="5"/>
        <v>21224.160000000003</v>
      </c>
    </row>
    <row r="37" spans="1:11" x14ac:dyDescent="0.25">
      <c r="B37" s="37" t="s">
        <v>107</v>
      </c>
      <c r="C37" s="38"/>
      <c r="D37" s="135">
        <f>D29*$D$16</f>
        <v>10000</v>
      </c>
      <c r="E37" s="135">
        <f>E29*$D$16</f>
        <v>16320</v>
      </c>
      <c r="F37" s="135">
        <f>F29*$D$16</f>
        <v>24969.600000000002</v>
      </c>
      <c r="G37" s="135">
        <f>G29*$D$16</f>
        <v>21224.160000000003</v>
      </c>
      <c r="H37" s="136">
        <v>0</v>
      </c>
    </row>
    <row r="38" spans="1:11" x14ac:dyDescent="0.25">
      <c r="B38" s="39" t="s">
        <v>30</v>
      </c>
      <c r="C38" s="40"/>
      <c r="D38" s="137">
        <f>D36-D37</f>
        <v>0</v>
      </c>
      <c r="E38" s="137">
        <f t="shared" ref="E38:H38" si="6">E36-E37</f>
        <v>-6320</v>
      </c>
      <c r="F38" s="137">
        <f t="shared" si="6"/>
        <v>-8649.6000000000022</v>
      </c>
      <c r="G38" s="137">
        <f t="shared" si="6"/>
        <v>3745.4399999999987</v>
      </c>
      <c r="H38" s="138">
        <f t="shared" si="6"/>
        <v>21224.160000000003</v>
      </c>
    </row>
    <row r="40" spans="1:11" s="17" customFormat="1" x14ac:dyDescent="0.25">
      <c r="A40" s="198" t="s">
        <v>113</v>
      </c>
      <c r="B40" s="198"/>
      <c r="C40" s="198"/>
      <c r="D40" s="198"/>
      <c r="E40" s="198"/>
      <c r="F40" s="198"/>
      <c r="G40" s="198"/>
      <c r="H40" s="198"/>
      <c r="I40" s="198"/>
      <c r="J40" s="198"/>
      <c r="K40" s="198"/>
    </row>
    <row r="41" spans="1:11" s="17" customFormat="1" x14ac:dyDescent="0.25"/>
    <row r="42" spans="1:11" s="17" customFormat="1" x14ac:dyDescent="0.25">
      <c r="B42" s="35" t="s">
        <v>41</v>
      </c>
      <c r="C42" s="36"/>
      <c r="D42" s="139">
        <f>D20</f>
        <v>30000</v>
      </c>
    </row>
    <row r="43" spans="1:11" s="17" customFormat="1" x14ac:dyDescent="0.25">
      <c r="B43" s="37" t="s">
        <v>114</v>
      </c>
      <c r="C43" s="38"/>
      <c r="D43" s="136">
        <f>(D20-H27)*D12</f>
        <v>5090.3999999999996</v>
      </c>
    </row>
    <row r="44" spans="1:11" s="17" customFormat="1" x14ac:dyDescent="0.25">
      <c r="B44" s="39" t="s">
        <v>115</v>
      </c>
      <c r="C44" s="40"/>
      <c r="D44" s="138">
        <f>D42-D43</f>
        <v>24909.599999999999</v>
      </c>
    </row>
    <row r="45" spans="1:11" s="17" customFormat="1" x14ac:dyDescent="0.25"/>
    <row r="46" spans="1:11" s="17" customFormat="1" x14ac:dyDescent="0.25">
      <c r="A46" s="198" t="s">
        <v>111</v>
      </c>
      <c r="B46" s="198"/>
      <c r="C46" s="198"/>
      <c r="D46" s="198"/>
      <c r="E46" s="198"/>
      <c r="F46" s="198"/>
      <c r="G46" s="198"/>
      <c r="H46" s="198"/>
      <c r="I46" s="198"/>
      <c r="J46" s="198"/>
      <c r="K46" s="198"/>
    </row>
    <row r="47" spans="1:11" s="17" customFormat="1" x14ac:dyDescent="0.25"/>
    <row r="48" spans="1:11" s="17" customFormat="1" x14ac:dyDescent="0.25">
      <c r="B48" s="35" t="s">
        <v>104</v>
      </c>
      <c r="C48" s="36"/>
      <c r="D48" s="140">
        <f>D29</f>
        <v>100000</v>
      </c>
      <c r="E48" s="140">
        <f t="shared" ref="E48:H48" si="7">E29</f>
        <v>163200</v>
      </c>
      <c r="F48" s="140">
        <f t="shared" si="7"/>
        <v>249696</v>
      </c>
      <c r="G48" s="140">
        <f t="shared" si="7"/>
        <v>212241.6</v>
      </c>
      <c r="H48" s="139">
        <f t="shared" si="7"/>
        <v>129891.85920000001</v>
      </c>
    </row>
    <row r="49" spans="1:11" s="17" customFormat="1" x14ac:dyDescent="0.25">
      <c r="B49" s="37" t="s">
        <v>106</v>
      </c>
      <c r="C49" s="38"/>
      <c r="D49" s="129">
        <f>D31</f>
        <v>50000</v>
      </c>
      <c r="E49" s="129">
        <f t="shared" ref="E49:H49" si="8">E31</f>
        <v>88000</v>
      </c>
      <c r="F49" s="129">
        <f t="shared" si="8"/>
        <v>145200.00000000003</v>
      </c>
      <c r="G49" s="129">
        <f t="shared" si="8"/>
        <v>133100.00000000003</v>
      </c>
      <c r="H49" s="130">
        <f t="shared" si="8"/>
        <v>87846.000000000015</v>
      </c>
    </row>
    <row r="50" spans="1:11" s="17" customFormat="1" x14ac:dyDescent="0.25">
      <c r="B50" s="37" t="s">
        <v>10</v>
      </c>
      <c r="C50" s="38"/>
      <c r="D50" s="135">
        <f>D25</f>
        <v>20000</v>
      </c>
      <c r="E50" s="135">
        <f t="shared" ref="E50:H50" si="9">E25</f>
        <v>32000</v>
      </c>
      <c r="F50" s="135">
        <f t="shared" si="9"/>
        <v>19200</v>
      </c>
      <c r="G50" s="135">
        <f t="shared" si="9"/>
        <v>11520</v>
      </c>
      <c r="H50" s="136">
        <f t="shared" si="9"/>
        <v>11520</v>
      </c>
      <c r="I50" s="115"/>
    </row>
    <row r="51" spans="1:11" s="17" customFormat="1" x14ac:dyDescent="0.25">
      <c r="B51" s="37" t="s">
        <v>110</v>
      </c>
      <c r="C51" s="38"/>
      <c r="D51" s="127">
        <f>D48-D49-D50</f>
        <v>30000</v>
      </c>
      <c r="E51" s="127">
        <f t="shared" ref="E51:H51" si="10">E48-E49-E50</f>
        <v>43200</v>
      </c>
      <c r="F51" s="127">
        <f t="shared" si="10"/>
        <v>85295.999999999971</v>
      </c>
      <c r="G51" s="127">
        <f t="shared" si="10"/>
        <v>67621.599999999977</v>
      </c>
      <c r="H51" s="128">
        <f t="shared" si="10"/>
        <v>30525.859199999992</v>
      </c>
      <c r="I51" s="115"/>
    </row>
    <row r="52" spans="1:11" s="17" customFormat="1" x14ac:dyDescent="0.25">
      <c r="B52" s="37" t="str">
        <f>"Taxes at "&amp;D12*100&amp;"%"</f>
        <v>Taxes at 21%</v>
      </c>
      <c r="C52" s="38"/>
      <c r="D52" s="129">
        <f>D51*$D$12</f>
        <v>6300</v>
      </c>
      <c r="E52" s="129">
        <f t="shared" ref="E52:H52" si="11">E51*$D$12</f>
        <v>9072</v>
      </c>
      <c r="F52" s="129">
        <f t="shared" si="11"/>
        <v>17912.159999999993</v>
      </c>
      <c r="G52" s="129">
        <f t="shared" si="11"/>
        <v>14200.535999999995</v>
      </c>
      <c r="H52" s="130">
        <f t="shared" si="11"/>
        <v>6410.4304319999983</v>
      </c>
    </row>
    <row r="53" spans="1:11" s="17" customFormat="1" ht="16.5" thickBot="1" x14ac:dyDescent="0.3">
      <c r="B53" s="37" t="s">
        <v>12</v>
      </c>
      <c r="C53" s="38"/>
      <c r="D53" s="141">
        <f>D51-D52</f>
        <v>23700</v>
      </c>
      <c r="E53" s="141">
        <f t="shared" ref="E53:H53" si="12">E51-E52</f>
        <v>34128</v>
      </c>
      <c r="F53" s="141">
        <f t="shared" si="12"/>
        <v>67383.839999999982</v>
      </c>
      <c r="G53" s="141">
        <f t="shared" si="12"/>
        <v>53421.063999999984</v>
      </c>
      <c r="H53" s="142">
        <f t="shared" si="12"/>
        <v>24115.428767999994</v>
      </c>
    </row>
    <row r="54" spans="1:11" s="17" customFormat="1" ht="16.5" thickTop="1" x14ac:dyDescent="0.25">
      <c r="B54" s="39"/>
      <c r="C54" s="40"/>
      <c r="D54" s="40"/>
      <c r="E54" s="40"/>
      <c r="F54" s="40"/>
      <c r="G54" s="40"/>
      <c r="H54" s="44"/>
    </row>
    <row r="56" spans="1:11" x14ac:dyDescent="0.25">
      <c r="A56" s="198" t="s">
        <v>112</v>
      </c>
      <c r="B56" s="198"/>
      <c r="C56" s="198"/>
      <c r="D56" s="198"/>
      <c r="E56" s="198"/>
      <c r="F56" s="198"/>
      <c r="G56" s="198"/>
      <c r="H56" s="198"/>
      <c r="I56" s="198"/>
      <c r="J56" s="198"/>
      <c r="K56" s="198"/>
    </row>
    <row r="58" spans="1:11" s="17" customFormat="1" x14ac:dyDescent="0.25">
      <c r="B58" s="35"/>
      <c r="C58" s="36"/>
      <c r="D58" s="75" t="s">
        <v>117</v>
      </c>
      <c r="E58" s="75" t="s">
        <v>80</v>
      </c>
      <c r="F58" s="75" t="s">
        <v>81</v>
      </c>
      <c r="G58" s="75" t="s">
        <v>82</v>
      </c>
      <c r="H58" s="75" t="s">
        <v>83</v>
      </c>
      <c r="I58" s="76" t="s">
        <v>84</v>
      </c>
    </row>
    <row r="59" spans="1:11" s="17" customFormat="1" x14ac:dyDescent="0.25">
      <c r="B59" s="37" t="s">
        <v>104</v>
      </c>
      <c r="C59" s="38"/>
      <c r="D59" s="143"/>
      <c r="E59" s="127">
        <f>D48</f>
        <v>100000</v>
      </c>
      <c r="F59" s="127">
        <f t="shared" ref="F59:I59" si="13">E48</f>
        <v>163200</v>
      </c>
      <c r="G59" s="127">
        <f t="shared" si="13"/>
        <v>249696</v>
      </c>
      <c r="H59" s="127">
        <f t="shared" si="13"/>
        <v>212241.6</v>
      </c>
      <c r="I59" s="128">
        <f t="shared" si="13"/>
        <v>129891.85920000001</v>
      </c>
    </row>
    <row r="60" spans="1:11" s="17" customFormat="1" x14ac:dyDescent="0.25">
      <c r="B60" s="37" t="s">
        <v>106</v>
      </c>
      <c r="C60" s="38"/>
      <c r="D60" s="143"/>
      <c r="E60" s="129">
        <f>D49</f>
        <v>50000</v>
      </c>
      <c r="F60" s="129">
        <f t="shared" ref="F60:I60" si="14">E49</f>
        <v>88000</v>
      </c>
      <c r="G60" s="129">
        <f t="shared" si="14"/>
        <v>145200.00000000003</v>
      </c>
      <c r="H60" s="129">
        <f t="shared" si="14"/>
        <v>133100.00000000003</v>
      </c>
      <c r="I60" s="130">
        <f t="shared" si="14"/>
        <v>87846.000000000015</v>
      </c>
    </row>
    <row r="61" spans="1:11" s="17" customFormat="1" x14ac:dyDescent="0.25">
      <c r="B61" s="37" t="s">
        <v>86</v>
      </c>
      <c r="C61" s="38"/>
      <c r="D61" s="143"/>
      <c r="E61" s="133">
        <f>D52</f>
        <v>6300</v>
      </c>
      <c r="F61" s="133">
        <f t="shared" ref="F61:I61" si="15">E52</f>
        <v>9072</v>
      </c>
      <c r="G61" s="133">
        <f t="shared" si="15"/>
        <v>17912.159999999993</v>
      </c>
      <c r="H61" s="133">
        <f t="shared" si="15"/>
        <v>14200.535999999995</v>
      </c>
      <c r="I61" s="134">
        <f t="shared" si="15"/>
        <v>6410.4304319999983</v>
      </c>
    </row>
    <row r="62" spans="1:11" s="17" customFormat="1" x14ac:dyDescent="0.25">
      <c r="B62" s="37" t="s">
        <v>116</v>
      </c>
      <c r="C62" s="38"/>
      <c r="D62" s="143"/>
      <c r="E62" s="127">
        <f>E59-E60-E61</f>
        <v>43700</v>
      </c>
      <c r="F62" s="127">
        <f t="shared" ref="F62:I62" si="16">F59-F60-F61</f>
        <v>66128</v>
      </c>
      <c r="G62" s="127">
        <f t="shared" si="16"/>
        <v>86583.839999999982</v>
      </c>
      <c r="H62" s="127">
        <f t="shared" si="16"/>
        <v>64941.063999999984</v>
      </c>
      <c r="I62" s="128">
        <f t="shared" si="16"/>
        <v>35635.428767999991</v>
      </c>
    </row>
    <row r="63" spans="1:11" s="17" customFormat="1" x14ac:dyDescent="0.25">
      <c r="B63" s="37" t="s">
        <v>118</v>
      </c>
      <c r="C63" s="38"/>
      <c r="D63" s="127">
        <f>-D18</f>
        <v>-100000</v>
      </c>
      <c r="E63" s="144"/>
      <c r="F63" s="144"/>
      <c r="G63" s="144"/>
      <c r="H63" s="144"/>
      <c r="I63" s="145">
        <f>D44</f>
        <v>24909.599999999999</v>
      </c>
    </row>
    <row r="64" spans="1:11" s="17" customFormat="1" x14ac:dyDescent="0.25">
      <c r="B64" s="37" t="s">
        <v>119</v>
      </c>
      <c r="C64" s="38"/>
      <c r="D64" s="144">
        <f>-D19</f>
        <v>-150000</v>
      </c>
      <c r="E64" s="144"/>
      <c r="F64" s="144"/>
      <c r="G64" s="144"/>
      <c r="H64" s="144"/>
      <c r="I64" s="145">
        <f>D19</f>
        <v>150000</v>
      </c>
    </row>
    <row r="65" spans="1:11" s="17" customFormat="1" x14ac:dyDescent="0.25">
      <c r="B65" s="37" t="s">
        <v>19</v>
      </c>
      <c r="C65" s="38"/>
      <c r="D65" s="144">
        <f>-D15</f>
        <v>-10000</v>
      </c>
      <c r="E65" s="144">
        <f>D38</f>
        <v>0</v>
      </c>
      <c r="F65" s="144">
        <f t="shared" ref="F65:I65" si="17">E38</f>
        <v>-6320</v>
      </c>
      <c r="G65" s="144">
        <f t="shared" si="17"/>
        <v>-8649.6000000000022</v>
      </c>
      <c r="H65" s="144">
        <f t="shared" si="17"/>
        <v>3745.4399999999987</v>
      </c>
      <c r="I65" s="145">
        <f t="shared" si="17"/>
        <v>21224.160000000003</v>
      </c>
      <c r="J65" s="115"/>
    </row>
    <row r="66" spans="1:11" s="17" customFormat="1" ht="16.5" thickBot="1" x14ac:dyDescent="0.3">
      <c r="B66" s="37" t="s">
        <v>120</v>
      </c>
      <c r="C66" s="38"/>
      <c r="D66" s="141">
        <f>D62+D63+D64+D65</f>
        <v>-260000</v>
      </c>
      <c r="E66" s="141">
        <f t="shared" ref="E66:I66" si="18">E62+E63+E64+E65</f>
        <v>43700</v>
      </c>
      <c r="F66" s="141">
        <f t="shared" si="18"/>
        <v>59808</v>
      </c>
      <c r="G66" s="141">
        <f t="shared" si="18"/>
        <v>77934.239999999976</v>
      </c>
      <c r="H66" s="141">
        <f t="shared" si="18"/>
        <v>68686.503999999986</v>
      </c>
      <c r="I66" s="142">
        <f t="shared" si="18"/>
        <v>231769.18876799999</v>
      </c>
    </row>
    <row r="67" spans="1:11" s="17" customFormat="1" ht="16.5" thickTop="1" x14ac:dyDescent="0.25">
      <c r="B67" s="37"/>
      <c r="C67" s="38"/>
      <c r="D67" s="38"/>
      <c r="E67" s="38"/>
      <c r="F67" s="38"/>
      <c r="G67" s="38"/>
      <c r="H67" s="38"/>
      <c r="I67" s="79"/>
    </row>
    <row r="68" spans="1:11" s="17" customFormat="1" x14ac:dyDescent="0.25">
      <c r="B68" s="37" t="s">
        <v>17</v>
      </c>
      <c r="C68" s="38"/>
      <c r="D68" s="38"/>
      <c r="E68" s="38"/>
      <c r="F68" s="38"/>
      <c r="G68" s="38"/>
      <c r="H68" s="38"/>
      <c r="I68" s="79"/>
    </row>
    <row r="69" spans="1:11" s="17" customFormat="1" x14ac:dyDescent="0.25">
      <c r="B69" s="149">
        <v>0.04</v>
      </c>
      <c r="C69" s="146">
        <f>NPV(B69,$E$66:$I$66)+$D$66</f>
        <v>155809.23457960587</v>
      </c>
      <c r="D69" s="38"/>
      <c r="E69" s="38"/>
      <c r="F69" s="38"/>
      <c r="G69" s="38"/>
      <c r="H69" s="38"/>
      <c r="I69" s="79"/>
    </row>
    <row r="70" spans="1:11" s="17" customFormat="1" x14ac:dyDescent="0.25">
      <c r="B70" s="149">
        <v>0.1</v>
      </c>
      <c r="C70" s="146">
        <f t="shared" ref="C70:C73" si="19">NPV(B70,$E$66:$I$66)+$D$66</f>
        <v>78532.757678002468</v>
      </c>
      <c r="D70" s="38"/>
      <c r="E70" s="38"/>
      <c r="F70" s="38"/>
      <c r="G70" s="38"/>
      <c r="H70" s="38"/>
      <c r="I70" s="79"/>
    </row>
    <row r="71" spans="1:11" s="17" customFormat="1" x14ac:dyDescent="0.25">
      <c r="B71" s="149">
        <v>0.15</v>
      </c>
      <c r="C71" s="146">
        <f t="shared" si="19"/>
        <v>28968.448520782753</v>
      </c>
      <c r="D71" s="38"/>
      <c r="E71" s="38"/>
      <c r="F71" s="38"/>
      <c r="G71" s="38"/>
      <c r="H71" s="38"/>
      <c r="I71" s="79"/>
    </row>
    <row r="72" spans="1:11" s="17" customFormat="1" x14ac:dyDescent="0.25">
      <c r="B72" s="148">
        <f>IRR(D66:I66)</f>
        <v>0.18543207298213504</v>
      </c>
      <c r="C72" s="146">
        <f t="shared" si="19"/>
        <v>0</v>
      </c>
      <c r="D72" s="38"/>
      <c r="E72" s="38"/>
      <c r="F72" s="38"/>
      <c r="G72" s="38"/>
      <c r="H72" s="38"/>
      <c r="I72" s="79"/>
    </row>
    <row r="73" spans="1:11" s="17" customFormat="1" x14ac:dyDescent="0.25">
      <c r="B73" s="150">
        <v>0.2</v>
      </c>
      <c r="C73" s="147">
        <f t="shared" si="19"/>
        <v>-10682.049266975315</v>
      </c>
      <c r="D73" s="40"/>
      <c r="E73" s="40"/>
      <c r="F73" s="40"/>
      <c r="G73" s="40"/>
      <c r="H73" s="40"/>
      <c r="I73" s="44"/>
    </row>
    <row r="74" spans="1:11" s="17" customFormat="1" x14ac:dyDescent="0.25"/>
    <row r="75" spans="1:11" s="17" customFormat="1" x14ac:dyDescent="0.25"/>
    <row r="76" spans="1:11" s="13" customFormat="1" x14ac:dyDescent="0.25">
      <c r="A76" s="197" t="s">
        <v>121</v>
      </c>
      <c r="B76" s="197"/>
      <c r="C76" s="197"/>
      <c r="D76" s="197"/>
      <c r="E76" s="197"/>
      <c r="F76" s="197"/>
      <c r="G76" s="197"/>
      <c r="H76" s="197"/>
      <c r="I76" s="197"/>
      <c r="J76" s="197"/>
    </row>
    <row r="77" spans="1:11" s="13" customFormat="1" x14ac:dyDescent="0.25"/>
    <row r="78" spans="1:11" s="13" customFormat="1" ht="63" customHeight="1" x14ac:dyDescent="0.25">
      <c r="A78" s="198" t="s">
        <v>176</v>
      </c>
      <c r="B78" s="198"/>
      <c r="C78" s="198"/>
      <c r="D78" s="198"/>
      <c r="E78" s="198"/>
      <c r="F78" s="198"/>
      <c r="G78" s="198"/>
      <c r="H78" s="198"/>
      <c r="I78" s="198"/>
      <c r="J78" s="198"/>
      <c r="K78" s="198"/>
    </row>
    <row r="79" spans="1:11" s="13" customFormat="1" x14ac:dyDescent="0.25"/>
    <row r="80" spans="1:11" s="13" customFormat="1" x14ac:dyDescent="0.25">
      <c r="C80" s="35"/>
      <c r="D80" s="199" t="s">
        <v>69</v>
      </c>
      <c r="E80" s="199"/>
      <c r="F80" s="199"/>
      <c r="G80" s="199"/>
      <c r="H80" s="199"/>
      <c r="I80" s="200"/>
    </row>
    <row r="81" spans="3:9" s="13" customFormat="1" x14ac:dyDescent="0.25">
      <c r="C81" s="67" t="s">
        <v>13</v>
      </c>
      <c r="D81" s="68">
        <v>3</v>
      </c>
      <c r="E81" s="68">
        <v>5</v>
      </c>
      <c r="F81" s="68">
        <v>7</v>
      </c>
      <c r="G81" s="68">
        <v>10</v>
      </c>
      <c r="H81" s="68">
        <v>15</v>
      </c>
      <c r="I81" s="69">
        <v>20</v>
      </c>
    </row>
    <row r="82" spans="3:9" s="13" customFormat="1" x14ac:dyDescent="0.25">
      <c r="C82" s="70">
        <v>1</v>
      </c>
      <c r="D82" s="151">
        <f>VDB(1,0,D$81,0,$C82-0.5,2)</f>
        <v>0.33333333333333331</v>
      </c>
      <c r="E82" s="151">
        <f>VDB(1,0,E$81,0,$C82-0.5,2)</f>
        <v>0.2</v>
      </c>
      <c r="F82" s="151">
        <f>VDB(1,0,F$81,0,$C82-0.5,2)</f>
        <v>0.14285714285714285</v>
      </c>
      <c r="G82" s="151">
        <f>VDB(1,0,G$81,0,$C82-0.5,2)</f>
        <v>0.1</v>
      </c>
      <c r="H82" s="151">
        <f>VDB(1,0,H$81,0,$C82-0.5,1.5)</f>
        <v>0.05</v>
      </c>
      <c r="I82" s="152">
        <f>VDB(1,0,I$81,0,$C82-0.5,1.5)</f>
        <v>3.7499999999999999E-2</v>
      </c>
    </row>
    <row r="83" spans="3:9" s="13" customFormat="1" x14ac:dyDescent="0.25">
      <c r="C83" s="70">
        <v>2</v>
      </c>
      <c r="D83" s="151">
        <f>VDB(1,0,D$81,$C82-0.5,MIN($C83-0.5,D$81))</f>
        <v>0.44444444444444448</v>
      </c>
      <c r="E83" s="151">
        <f t="shared" ref="E83:G87" si="20">VDB(1,0,E$81,$C82-0.5,MIN($C83-0.5,E$81),2)</f>
        <v>0.32000000000000006</v>
      </c>
      <c r="F83" s="151">
        <f t="shared" si="20"/>
        <v>0.24489795918367346</v>
      </c>
      <c r="G83" s="151">
        <f t="shared" si="20"/>
        <v>0.18000000000000002</v>
      </c>
      <c r="H83" s="151">
        <f t="shared" ref="H83:H97" si="21">VDB(1,0,H$81,$C82-0.5,MIN($C83-0.5,H$81),1.5)</f>
        <v>9.5000000000000001E-2</v>
      </c>
      <c r="I83" s="152">
        <f t="shared" ref="I83:I97" si="22">VDB(1,0,I$81,$C82-0.5,MIN($C83-0.5,I$81),1.5)</f>
        <v>7.2187500000000002E-2</v>
      </c>
    </row>
    <row r="84" spans="3:9" s="13" customFormat="1" x14ac:dyDescent="0.25">
      <c r="C84" s="70">
        <v>3</v>
      </c>
      <c r="D84" s="151">
        <f>VDB(1,0,D$81,$C83-0.5,MIN($C84-0.5,D$81),2)</f>
        <v>0.14814814814814817</v>
      </c>
      <c r="E84" s="151">
        <f t="shared" si="20"/>
        <v>0.192</v>
      </c>
      <c r="F84" s="151">
        <f t="shared" si="20"/>
        <v>0.1749271137026239</v>
      </c>
      <c r="G84" s="151">
        <f t="shared" si="20"/>
        <v>0.14399999999999999</v>
      </c>
      <c r="H84" s="151">
        <f t="shared" si="21"/>
        <v>8.5500000000000007E-2</v>
      </c>
      <c r="I84" s="152">
        <f t="shared" si="22"/>
        <v>6.6773437500000005E-2</v>
      </c>
    </row>
    <row r="85" spans="3:9" s="13" customFormat="1" x14ac:dyDescent="0.25">
      <c r="C85" s="70">
        <v>4</v>
      </c>
      <c r="D85" s="151">
        <f>VDB(1,0,D$81,$C84-0.5,MIN($C85-0.5,D$81),2)</f>
        <v>7.4074074074074098E-2</v>
      </c>
      <c r="E85" s="151">
        <f t="shared" si="20"/>
        <v>0.1152</v>
      </c>
      <c r="F85" s="151">
        <f t="shared" si="20"/>
        <v>0.12494793835901707</v>
      </c>
      <c r="G85" s="151">
        <f t="shared" si="20"/>
        <v>0.1152</v>
      </c>
      <c r="H85" s="151">
        <f t="shared" si="21"/>
        <v>7.6950000000000005E-2</v>
      </c>
      <c r="I85" s="152">
        <f t="shared" si="22"/>
        <v>6.1765429687500005E-2</v>
      </c>
    </row>
    <row r="86" spans="3:9" s="17" customFormat="1" x14ac:dyDescent="0.25">
      <c r="C86" s="70">
        <v>5</v>
      </c>
      <c r="D86" s="151"/>
      <c r="E86" s="151">
        <f t="shared" si="20"/>
        <v>0.11519999999999998</v>
      </c>
      <c r="F86" s="151">
        <f t="shared" si="20"/>
        <v>8.9248527399297908E-2</v>
      </c>
      <c r="G86" s="151">
        <f t="shared" si="20"/>
        <v>9.2160000000000006E-2</v>
      </c>
      <c r="H86" s="151">
        <f t="shared" si="21"/>
        <v>6.9254999999999997E-2</v>
      </c>
      <c r="I86" s="152">
        <f t="shared" si="22"/>
        <v>5.7133022460937502E-2</v>
      </c>
    </row>
    <row r="87" spans="3:9" s="17" customFormat="1" x14ac:dyDescent="0.25">
      <c r="C87" s="70">
        <v>6</v>
      </c>
      <c r="D87" s="151"/>
      <c r="E87" s="151">
        <f t="shared" si="20"/>
        <v>5.7599999999999991E-2</v>
      </c>
      <c r="F87" s="151">
        <f t="shared" si="20"/>
        <v>8.9248527399297922E-2</v>
      </c>
      <c r="G87" s="151">
        <f t="shared" si="20"/>
        <v>7.3728000000000002E-2</v>
      </c>
      <c r="H87" s="151">
        <f t="shared" si="21"/>
        <v>6.232950000000001E-2</v>
      </c>
      <c r="I87" s="152">
        <f t="shared" si="22"/>
        <v>5.2848045776367189E-2</v>
      </c>
    </row>
    <row r="88" spans="3:9" s="17" customFormat="1" x14ac:dyDescent="0.25">
      <c r="C88" s="70">
        <v>7</v>
      </c>
      <c r="D88" s="151"/>
      <c r="E88" s="151"/>
      <c r="F88" s="151">
        <f>VDB(1,0,F$81,$C87-0.5,MIN($C88-0.5,F$81),2)</f>
        <v>8.9248527399297922E-2</v>
      </c>
      <c r="G88" s="151">
        <f>VDB(1,0,G$81,$C87-0.5,MIN($C88-0.5,G$81),2)</f>
        <v>6.5535999999999983E-2</v>
      </c>
      <c r="H88" s="151">
        <f t="shared" si="21"/>
        <v>5.9048999999999997E-2</v>
      </c>
      <c r="I88" s="152">
        <f t="shared" si="22"/>
        <v>4.8884442343139656E-2</v>
      </c>
    </row>
    <row r="89" spans="3:9" s="17" customFormat="1" x14ac:dyDescent="0.25">
      <c r="C89" s="70">
        <v>8</v>
      </c>
      <c r="D89" s="153"/>
      <c r="E89" s="153"/>
      <c r="F89" s="151">
        <f>VDB(1,0,F$81,$C88-0.5,MIN($C89-0.5,F$81),2)</f>
        <v>4.4624263699648961E-2</v>
      </c>
      <c r="G89" s="151">
        <f>VDB(1,0,G$81,$C88-0.5,MIN($C89-0.5,G$81),2)</f>
        <v>6.5535999999999983E-2</v>
      </c>
      <c r="H89" s="151">
        <f t="shared" si="21"/>
        <v>5.9048999999999997E-2</v>
      </c>
      <c r="I89" s="152">
        <f t="shared" si="22"/>
        <v>4.5218109167404187E-2</v>
      </c>
    </row>
    <row r="90" spans="3:9" s="17" customFormat="1" x14ac:dyDescent="0.25">
      <c r="C90" s="70">
        <v>9</v>
      </c>
      <c r="D90" s="153"/>
      <c r="E90" s="153"/>
      <c r="F90" s="153"/>
      <c r="G90" s="151">
        <f>VDB(1,0,G$81,$C89-0.5,MIN($C90-0.5,G$81),2)</f>
        <v>6.5535999999999983E-2</v>
      </c>
      <c r="H90" s="151">
        <f t="shared" si="21"/>
        <v>5.9048999999999997E-2</v>
      </c>
      <c r="I90" s="152">
        <f t="shared" si="22"/>
        <v>4.461520104517213E-2</v>
      </c>
    </row>
    <row r="91" spans="3:9" s="17" customFormat="1" x14ac:dyDescent="0.25">
      <c r="C91" s="70">
        <v>10</v>
      </c>
      <c r="D91" s="153"/>
      <c r="E91" s="153"/>
      <c r="F91" s="153"/>
      <c r="G91" s="151">
        <f>VDB(1,0,G$81,$C90-0.5,MIN($C91-0.5,G$81),2)</f>
        <v>6.5535999999999983E-2</v>
      </c>
      <c r="H91" s="151">
        <f t="shared" si="21"/>
        <v>5.9048999999999997E-2</v>
      </c>
      <c r="I91" s="152">
        <f t="shared" si="22"/>
        <v>4.461520104517213E-2</v>
      </c>
    </row>
    <row r="92" spans="3:9" s="17" customFormat="1" x14ac:dyDescent="0.25">
      <c r="C92" s="70">
        <v>11</v>
      </c>
      <c r="D92" s="153"/>
      <c r="E92" s="153"/>
      <c r="F92" s="153"/>
      <c r="G92" s="151">
        <f>VDB(1,0,G$81,$C91-0.5,MIN($C92-0.5,G$81),2)</f>
        <v>3.2767999999999992E-2</v>
      </c>
      <c r="H92" s="151">
        <f t="shared" si="21"/>
        <v>5.9048999999999997E-2</v>
      </c>
      <c r="I92" s="152">
        <f t="shared" si="22"/>
        <v>4.461520104517213E-2</v>
      </c>
    </row>
    <row r="93" spans="3:9" s="17" customFormat="1" x14ac:dyDescent="0.25">
      <c r="C93" s="70">
        <v>12</v>
      </c>
      <c r="D93" s="153"/>
      <c r="E93" s="153"/>
      <c r="F93" s="153"/>
      <c r="G93" s="151"/>
      <c r="H93" s="151">
        <f t="shared" si="21"/>
        <v>5.9048999999999997E-2</v>
      </c>
      <c r="I93" s="152">
        <f t="shared" si="22"/>
        <v>4.461520104517213E-2</v>
      </c>
    </row>
    <row r="94" spans="3:9" s="17" customFormat="1" x14ac:dyDescent="0.25">
      <c r="C94" s="70">
        <v>13</v>
      </c>
      <c r="D94" s="153"/>
      <c r="E94" s="153"/>
      <c r="F94" s="153"/>
      <c r="G94" s="151"/>
      <c r="H94" s="151">
        <f t="shared" si="21"/>
        <v>5.9048999999999997E-2</v>
      </c>
      <c r="I94" s="152">
        <f t="shared" si="22"/>
        <v>4.461520104517213E-2</v>
      </c>
    </row>
    <row r="95" spans="3:9" s="17" customFormat="1" x14ac:dyDescent="0.25">
      <c r="C95" s="70">
        <v>14</v>
      </c>
      <c r="D95" s="153"/>
      <c r="E95" s="153"/>
      <c r="F95" s="153"/>
      <c r="G95" s="151"/>
      <c r="H95" s="151">
        <f t="shared" si="21"/>
        <v>5.9048999999999997E-2</v>
      </c>
      <c r="I95" s="152">
        <f t="shared" si="22"/>
        <v>4.461520104517213E-2</v>
      </c>
    </row>
    <row r="96" spans="3:9" s="17" customFormat="1" x14ac:dyDescent="0.25">
      <c r="C96" s="70">
        <v>15</v>
      </c>
      <c r="D96" s="153"/>
      <c r="E96" s="153"/>
      <c r="F96" s="153"/>
      <c r="G96" s="151"/>
      <c r="H96" s="151">
        <f t="shared" si="21"/>
        <v>5.9048999999999997E-2</v>
      </c>
      <c r="I96" s="152">
        <f t="shared" si="22"/>
        <v>4.461520104517213E-2</v>
      </c>
    </row>
    <row r="97" spans="1:14" s="17" customFormat="1" x14ac:dyDescent="0.25">
      <c r="C97" s="70">
        <v>16</v>
      </c>
      <c r="D97" s="153"/>
      <c r="E97" s="153"/>
      <c r="F97" s="153"/>
      <c r="G97" s="151"/>
      <c r="H97" s="151">
        <f t="shared" si="21"/>
        <v>2.9524499999999999E-2</v>
      </c>
      <c r="I97" s="152">
        <f t="shared" si="22"/>
        <v>4.461520104517213E-2</v>
      </c>
    </row>
    <row r="98" spans="1:14" s="17" customFormat="1" x14ac:dyDescent="0.25">
      <c r="C98" s="70">
        <v>17</v>
      </c>
      <c r="D98" s="153"/>
      <c r="E98" s="153"/>
      <c r="F98" s="153"/>
      <c r="G98" s="151"/>
      <c r="H98" s="151"/>
      <c r="I98" s="152">
        <f>VDB(1,0,I$81,$C97-0.5,MIN($C98-0.5,I$81),1.5)</f>
        <v>4.461520104517213E-2</v>
      </c>
    </row>
    <row r="99" spans="1:14" s="17" customFormat="1" x14ac:dyDescent="0.25">
      <c r="C99" s="70">
        <v>18</v>
      </c>
      <c r="D99" s="153"/>
      <c r="E99" s="153"/>
      <c r="F99" s="153"/>
      <c r="G99" s="151"/>
      <c r="H99" s="151"/>
      <c r="I99" s="152">
        <f>VDB(1,0,I$81,$C98-0.5,MIN($C99-0.5,I$81),1.5)</f>
        <v>4.461520104517213E-2</v>
      </c>
    </row>
    <row r="100" spans="1:14" s="17" customFormat="1" x14ac:dyDescent="0.25">
      <c r="C100" s="70">
        <v>19</v>
      </c>
      <c r="D100" s="153"/>
      <c r="E100" s="153"/>
      <c r="F100" s="153"/>
      <c r="G100" s="151"/>
      <c r="H100" s="151"/>
      <c r="I100" s="152">
        <f>VDB(1,0,I$81,$C99-0.5,MIN($C100-0.5,I$81),1.5)</f>
        <v>4.461520104517213E-2</v>
      </c>
    </row>
    <row r="101" spans="1:14" s="17" customFormat="1" x14ac:dyDescent="0.25">
      <c r="C101" s="70">
        <v>20</v>
      </c>
      <c r="D101" s="153"/>
      <c r="E101" s="153"/>
      <c r="F101" s="153"/>
      <c r="G101" s="151"/>
      <c r="H101" s="151"/>
      <c r="I101" s="152">
        <f>VDB(1,0,I$81,$C100-0.5,MIN($C101-0.5,I$81),1.5)</f>
        <v>4.461520104517213E-2</v>
      </c>
    </row>
    <row r="102" spans="1:14" s="17" customFormat="1" x14ac:dyDescent="0.25">
      <c r="C102" s="71">
        <v>21</v>
      </c>
      <c r="D102" s="154"/>
      <c r="E102" s="154"/>
      <c r="F102" s="154"/>
      <c r="G102" s="155"/>
      <c r="H102" s="155"/>
      <c r="I102" s="156">
        <f>VDB(1,0,I$81,$C101-0.5,MIN($C102-0.5,I$81),1.5)</f>
        <v>2.2307600522586065E-2</v>
      </c>
    </row>
    <row r="103" spans="1:14" s="17" customFormat="1" x14ac:dyDescent="0.25"/>
    <row r="104" spans="1:14" s="23" customFormat="1" x14ac:dyDescent="0.25">
      <c r="A104" s="20" t="s">
        <v>28</v>
      </c>
      <c r="B104" s="21"/>
      <c r="C104" s="21"/>
      <c r="D104" s="21"/>
      <c r="E104" s="22"/>
      <c r="F104" s="21"/>
      <c r="G104" s="21"/>
      <c r="H104" s="21"/>
      <c r="I104" s="21"/>
      <c r="J104" s="21"/>
      <c r="K104" s="21"/>
      <c r="L104" s="21"/>
      <c r="M104" s="21"/>
      <c r="N104" s="21"/>
    </row>
    <row r="105" spans="1:14" s="23" customFormat="1" ht="31.5" customHeight="1" x14ac:dyDescent="0.25">
      <c r="A105" s="195" t="s">
        <v>89</v>
      </c>
      <c r="B105" s="195"/>
      <c r="C105" s="195"/>
      <c r="D105" s="195"/>
      <c r="E105" s="195"/>
      <c r="F105" s="195"/>
      <c r="G105" s="195"/>
      <c r="H105" s="195"/>
      <c r="I105" s="195"/>
      <c r="J105" s="195"/>
      <c r="K105" s="195"/>
      <c r="L105" s="21"/>
      <c r="M105" s="21"/>
      <c r="N105" s="21"/>
    </row>
    <row r="106" spans="1:14" s="23" customFormat="1" x14ac:dyDescent="0.25"/>
    <row r="107" spans="1:14" s="23" customFormat="1" x14ac:dyDescent="0.25">
      <c r="I107" s="80"/>
    </row>
    <row r="108" spans="1:14" s="23" customFormat="1" x14ac:dyDescent="0.25"/>
    <row r="109" spans="1:14" s="23" customFormat="1" x14ac:dyDescent="0.25"/>
    <row r="110" spans="1:14" s="23" customFormat="1" x14ac:dyDescent="0.25"/>
    <row r="111" spans="1:14" s="23" customFormat="1" x14ac:dyDescent="0.25"/>
    <row r="112" spans="1:14" s="23" customFormat="1" x14ac:dyDescent="0.25"/>
    <row r="113" spans="1:11" s="23" customFormat="1" x14ac:dyDescent="0.25"/>
    <row r="114" spans="1:11" s="23" customFormat="1" x14ac:dyDescent="0.25"/>
    <row r="115" spans="1:11" s="23" customFormat="1" x14ac:dyDescent="0.25"/>
    <row r="116" spans="1:11" s="23" customFormat="1" x14ac:dyDescent="0.25"/>
    <row r="117" spans="1:11" s="23" customFormat="1" x14ac:dyDescent="0.25"/>
    <row r="118" spans="1:11" s="23" customFormat="1" x14ac:dyDescent="0.25"/>
    <row r="119" spans="1:11" s="23" customFormat="1" x14ac:dyDescent="0.25"/>
    <row r="120" spans="1:11" s="23" customFormat="1" x14ac:dyDescent="0.25"/>
    <row r="121" spans="1:11" s="23" customFormat="1" x14ac:dyDescent="0.25"/>
    <row r="122" spans="1:11" s="23" customFormat="1" x14ac:dyDescent="0.25"/>
    <row r="123" spans="1:11" s="23" customFormat="1" x14ac:dyDescent="0.25"/>
    <row r="124" spans="1:11" s="23" customFormat="1" x14ac:dyDescent="0.25"/>
    <row r="125" spans="1:11" s="23" customFormat="1" ht="108.75" customHeight="1" x14ac:dyDescent="0.25">
      <c r="A125" s="196" t="s">
        <v>95</v>
      </c>
      <c r="B125" s="196"/>
      <c r="C125" s="196"/>
      <c r="D125" s="196"/>
      <c r="E125" s="196"/>
      <c r="F125" s="196"/>
      <c r="G125" s="196"/>
      <c r="H125" s="196"/>
      <c r="I125" s="196"/>
      <c r="J125" s="196"/>
      <c r="K125" s="196"/>
    </row>
    <row r="126" spans="1:11" s="23" customFormat="1" x14ac:dyDescent="0.25"/>
    <row r="127" spans="1:11" s="23" customFormat="1" ht="48.75" customHeight="1" x14ac:dyDescent="0.25">
      <c r="A127" s="196" t="s">
        <v>177</v>
      </c>
      <c r="B127" s="196"/>
      <c r="C127" s="196"/>
      <c r="D127" s="196"/>
      <c r="E127" s="196"/>
      <c r="F127" s="196"/>
      <c r="G127" s="196"/>
      <c r="H127" s="196"/>
      <c r="I127" s="196"/>
      <c r="J127" s="196"/>
      <c r="K127" s="196"/>
    </row>
    <row r="128" spans="1:11" s="23" customFormat="1" x14ac:dyDescent="0.25"/>
  </sheetData>
  <mergeCells count="11">
    <mergeCell ref="A105:K105"/>
    <mergeCell ref="A125:K125"/>
    <mergeCell ref="A127:K127"/>
    <mergeCell ref="A76:J76"/>
    <mergeCell ref="A5:K5"/>
    <mergeCell ref="A33:K33"/>
    <mergeCell ref="A46:K46"/>
    <mergeCell ref="A56:K56"/>
    <mergeCell ref="A40:K40"/>
    <mergeCell ref="A78:K78"/>
    <mergeCell ref="D80:I8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39"/>
  <sheetViews>
    <sheetView zoomScaleNormal="100" workbookViewId="0"/>
  </sheetViews>
  <sheetFormatPr defaultRowHeight="15.75" x14ac:dyDescent="0.25"/>
  <cols>
    <col min="1" max="1" width="4.7109375" style="17" customWidth="1"/>
    <col min="2" max="2" width="16.7109375" style="17" customWidth="1"/>
    <col min="3" max="26" width="14.7109375" style="17" customWidth="1"/>
    <col min="27" max="36" width="10.7109375" style="17" customWidth="1"/>
    <col min="37" max="16384" width="9.140625" style="17"/>
  </cols>
  <sheetData>
    <row r="1" spans="1:11" ht="16.5" thickBot="1" x14ac:dyDescent="0.3"/>
    <row r="2" spans="1:11" ht="21" x14ac:dyDescent="0.35">
      <c r="B2" s="57" t="s">
        <v>207</v>
      </c>
      <c r="C2" s="58"/>
      <c r="D2" s="58"/>
      <c r="E2" s="58"/>
      <c r="F2" s="59"/>
      <c r="G2" s="117"/>
    </row>
    <row r="3" spans="1:11" s="2" customFormat="1" ht="21.75" thickBot="1" x14ac:dyDescent="0.4">
      <c r="B3" s="60" t="s">
        <v>225</v>
      </c>
      <c r="C3" s="61"/>
      <c r="D3" s="61"/>
      <c r="E3" s="61"/>
      <c r="F3" s="62"/>
      <c r="G3" s="118"/>
    </row>
    <row r="5" spans="1:11" ht="47.25" customHeight="1" x14ac:dyDescent="0.25">
      <c r="A5" s="198" t="s">
        <v>178</v>
      </c>
      <c r="B5" s="198"/>
      <c r="C5" s="198"/>
      <c r="D5" s="198"/>
      <c r="E5" s="198"/>
      <c r="F5" s="198"/>
      <c r="G5" s="198"/>
      <c r="H5" s="198"/>
      <c r="I5" s="198"/>
      <c r="J5" s="198"/>
      <c r="K5" s="198"/>
    </row>
    <row r="7" spans="1:11" ht="31.5" x14ac:dyDescent="0.25">
      <c r="C7" s="32" t="s">
        <v>46</v>
      </c>
      <c r="D7" s="32" t="s">
        <v>47</v>
      </c>
    </row>
    <row r="8" spans="1:11" x14ac:dyDescent="0.25">
      <c r="B8" s="17" t="s">
        <v>23</v>
      </c>
      <c r="C8" s="125">
        <v>1100000</v>
      </c>
      <c r="D8" s="125">
        <v>1900000</v>
      </c>
    </row>
    <row r="9" spans="1:11" x14ac:dyDescent="0.25">
      <c r="B9" s="17" t="s">
        <v>43</v>
      </c>
      <c r="C9" s="125">
        <v>60000</v>
      </c>
      <c r="D9" s="125">
        <v>10000</v>
      </c>
    </row>
    <row r="10" spans="1:11" x14ac:dyDescent="0.25">
      <c r="B10" s="17" t="s">
        <v>44</v>
      </c>
      <c r="C10" s="121">
        <v>5</v>
      </c>
      <c r="D10" s="121">
        <v>8</v>
      </c>
    </row>
    <row r="11" spans="1:11" x14ac:dyDescent="0.25">
      <c r="C11" s="123"/>
      <c r="D11" s="123"/>
    </row>
    <row r="12" spans="1:11" x14ac:dyDescent="0.25">
      <c r="B12" s="17" t="s">
        <v>45</v>
      </c>
      <c r="C12" s="124">
        <v>0.12</v>
      </c>
      <c r="D12" s="123"/>
    </row>
    <row r="13" spans="1:11" x14ac:dyDescent="0.25">
      <c r="B13" s="17" t="s">
        <v>24</v>
      </c>
      <c r="C13" s="124">
        <v>0.21</v>
      </c>
      <c r="D13" s="123"/>
    </row>
    <row r="15" spans="1:11" x14ac:dyDescent="0.25">
      <c r="A15" s="17" t="s">
        <v>48</v>
      </c>
    </row>
    <row r="17" spans="1:4" x14ac:dyDescent="0.25">
      <c r="B17" s="35"/>
      <c r="C17" s="199" t="s">
        <v>57</v>
      </c>
      <c r="D17" s="200"/>
    </row>
    <row r="18" spans="1:4" ht="31.5" x14ac:dyDescent="0.25">
      <c r="B18" s="37"/>
      <c r="C18" s="51" t="s">
        <v>46</v>
      </c>
      <c r="D18" s="52" t="s">
        <v>47</v>
      </c>
    </row>
    <row r="19" spans="1:4" x14ac:dyDescent="0.25">
      <c r="B19" s="37" t="s">
        <v>43</v>
      </c>
      <c r="C19" s="127">
        <f>C9</f>
        <v>60000</v>
      </c>
      <c r="D19" s="128">
        <f>D9</f>
        <v>10000</v>
      </c>
    </row>
    <row r="20" spans="1:4" x14ac:dyDescent="0.25">
      <c r="B20" s="37" t="s">
        <v>10</v>
      </c>
      <c r="C20" s="135">
        <f>C8/C10</f>
        <v>220000</v>
      </c>
      <c r="D20" s="136">
        <f>D8/D10</f>
        <v>237500</v>
      </c>
    </row>
    <row r="21" spans="1:4" x14ac:dyDescent="0.25">
      <c r="B21" s="37" t="s">
        <v>11</v>
      </c>
      <c r="C21" s="127">
        <f>-C19-C20</f>
        <v>-280000</v>
      </c>
      <c r="D21" s="128">
        <f>-D19-D20</f>
        <v>-247500</v>
      </c>
    </row>
    <row r="22" spans="1:4" x14ac:dyDescent="0.25">
      <c r="B22" s="37" t="s">
        <v>49</v>
      </c>
      <c r="C22" s="144">
        <f>C21*$C$13</f>
        <v>-58800</v>
      </c>
      <c r="D22" s="145">
        <f>D21*$C$13</f>
        <v>-51975</v>
      </c>
    </row>
    <row r="23" spans="1:4" ht="16.5" thickBot="1" x14ac:dyDescent="0.3">
      <c r="B23" s="37" t="s">
        <v>12</v>
      </c>
      <c r="C23" s="141">
        <f>C21-C22</f>
        <v>-221200</v>
      </c>
      <c r="D23" s="142">
        <f>D21-D22</f>
        <v>-195525</v>
      </c>
    </row>
    <row r="24" spans="1:4" ht="16.5" thickTop="1" x14ac:dyDescent="0.25">
      <c r="B24" s="39"/>
      <c r="C24" s="46"/>
      <c r="D24" s="41"/>
    </row>
    <row r="26" spans="1:4" x14ac:dyDescent="0.25">
      <c r="A26" s="17" t="s">
        <v>50</v>
      </c>
    </row>
    <row r="28" spans="1:4" x14ac:dyDescent="0.25">
      <c r="B28" s="17" t="s">
        <v>27</v>
      </c>
      <c r="C28" s="157">
        <f>C23+C20</f>
        <v>-1200</v>
      </c>
      <c r="D28" s="157">
        <f>D23+D20</f>
        <v>41975</v>
      </c>
    </row>
    <row r="30" spans="1:4" x14ac:dyDescent="0.25">
      <c r="A30" s="17" t="s">
        <v>224</v>
      </c>
    </row>
    <row r="32" spans="1:4" x14ac:dyDescent="0.25">
      <c r="B32" s="17" t="s">
        <v>17</v>
      </c>
      <c r="C32" s="157">
        <f>-C8+PV($C$12,C10,-C28)</f>
        <v>-1104325.731442814</v>
      </c>
      <c r="D32" s="157">
        <f>-D8+PV($C$12,D10,-D28)</f>
        <v>-1691483.3207869502</v>
      </c>
    </row>
    <row r="34" spans="1:11" x14ac:dyDescent="0.25">
      <c r="A34" s="17" t="s">
        <v>51</v>
      </c>
    </row>
    <row r="36" spans="1:11" x14ac:dyDescent="0.25">
      <c r="B36" s="17" t="s">
        <v>52</v>
      </c>
      <c r="C36" s="158">
        <f>PMT($C$12,C10,-C32)</f>
        <v>-306350.70513515378</v>
      </c>
      <c r="D36" s="158">
        <f>PMT($C$12,D10,-D32)</f>
        <v>-340500.39861554047</v>
      </c>
    </row>
    <row r="38" spans="1:11" x14ac:dyDescent="0.25">
      <c r="A38" s="198" t="str">
        <f>"In the final analysis, we should choose the system that is the least expensive, which is the "&amp;IF(C36&gt;D36,"filtration system.","precipitation system.")</f>
        <v>In the final analysis, we should choose the system that is the least expensive, which is the filtration system.</v>
      </c>
      <c r="B38" s="198"/>
      <c r="C38" s="198"/>
      <c r="D38" s="198"/>
      <c r="E38" s="198"/>
      <c r="F38" s="198"/>
      <c r="G38" s="198"/>
      <c r="H38" s="198"/>
      <c r="I38" s="198"/>
      <c r="J38" s="198"/>
      <c r="K38" s="198"/>
    </row>
    <row r="40" spans="1:11" x14ac:dyDescent="0.25">
      <c r="A40" s="204" t="s">
        <v>130</v>
      </c>
      <c r="B40" s="204"/>
      <c r="C40" s="204"/>
      <c r="D40" s="204"/>
      <c r="E40" s="204"/>
      <c r="F40" s="204"/>
      <c r="G40" s="204"/>
      <c r="H40" s="204"/>
      <c r="I40" s="204"/>
      <c r="J40" s="204"/>
      <c r="K40" s="204"/>
    </row>
    <row r="41" spans="1:11" ht="94.5" customHeight="1" x14ac:dyDescent="0.25">
      <c r="A41" s="205" t="s">
        <v>208</v>
      </c>
      <c r="B41" s="205"/>
      <c r="C41" s="205"/>
      <c r="D41" s="205"/>
      <c r="E41" s="205"/>
      <c r="F41" s="205"/>
      <c r="G41" s="205"/>
      <c r="H41" s="205"/>
      <c r="I41" s="205"/>
      <c r="J41" s="205"/>
      <c r="K41" s="205"/>
    </row>
    <row r="42" spans="1:11" x14ac:dyDescent="0.25">
      <c r="A42" s="83"/>
      <c r="B42" s="83"/>
      <c r="C42" s="83"/>
      <c r="D42" s="83"/>
      <c r="E42" s="83"/>
      <c r="F42" s="83"/>
      <c r="G42" s="83"/>
      <c r="H42" s="83"/>
      <c r="I42" s="83"/>
      <c r="J42" s="83"/>
      <c r="K42" s="83"/>
    </row>
    <row r="43" spans="1:11" ht="31.5" customHeight="1" x14ac:dyDescent="0.25">
      <c r="A43" s="205" t="s">
        <v>131</v>
      </c>
      <c r="B43" s="205"/>
      <c r="C43" s="205"/>
      <c r="D43" s="205"/>
      <c r="E43" s="205"/>
      <c r="F43" s="205"/>
      <c r="G43" s="205"/>
      <c r="H43" s="205"/>
      <c r="I43" s="205"/>
      <c r="J43" s="205"/>
      <c r="K43" s="205"/>
    </row>
    <row r="44" spans="1:11" x14ac:dyDescent="0.25">
      <c r="A44" s="24"/>
      <c r="B44" s="24"/>
      <c r="C44" s="24"/>
      <c r="D44" s="26"/>
      <c r="E44" s="24"/>
      <c r="F44" s="24"/>
      <c r="G44" s="24"/>
      <c r="H44" s="24"/>
      <c r="I44" s="24"/>
      <c r="J44" s="24"/>
      <c r="K44" s="24"/>
    </row>
    <row r="45" spans="1:11" x14ac:dyDescent="0.25">
      <c r="A45" s="24"/>
      <c r="B45" s="24" t="s">
        <v>23</v>
      </c>
      <c r="C45" s="24"/>
      <c r="D45" s="159">
        <v>3300000</v>
      </c>
      <c r="E45" s="24"/>
      <c r="F45" s="24"/>
      <c r="G45" s="24"/>
      <c r="H45" s="24"/>
      <c r="I45" s="24"/>
      <c r="J45" s="24"/>
      <c r="K45" s="24"/>
    </row>
    <row r="46" spans="1:11" x14ac:dyDescent="0.25">
      <c r="A46" s="24"/>
      <c r="B46" s="24" t="s">
        <v>41</v>
      </c>
      <c r="C46" s="24"/>
      <c r="D46" s="159">
        <v>75000</v>
      </c>
      <c r="E46" s="24"/>
      <c r="F46" s="24"/>
      <c r="G46" s="24"/>
      <c r="H46" s="24"/>
      <c r="I46" s="24"/>
      <c r="J46" s="24"/>
      <c r="K46" s="24"/>
    </row>
    <row r="47" spans="1:11" x14ac:dyDescent="0.25">
      <c r="A47" s="24"/>
      <c r="B47" s="24" t="s">
        <v>34</v>
      </c>
      <c r="C47" s="24"/>
      <c r="D47" s="160">
        <v>125000</v>
      </c>
      <c r="E47" s="24"/>
      <c r="F47" s="24"/>
      <c r="G47" s="24"/>
      <c r="H47" s="24"/>
      <c r="I47" s="24"/>
      <c r="J47" s="24"/>
      <c r="K47" s="24"/>
    </row>
    <row r="48" spans="1:11" x14ac:dyDescent="0.25">
      <c r="A48" s="24"/>
      <c r="B48" s="24" t="s">
        <v>42</v>
      </c>
      <c r="C48" s="24"/>
      <c r="D48" s="161">
        <v>21.915282001691541</v>
      </c>
      <c r="E48" s="24"/>
      <c r="F48" s="24"/>
      <c r="G48" s="24"/>
      <c r="H48" s="24"/>
      <c r="I48" s="24"/>
      <c r="J48" s="24"/>
      <c r="K48" s="24"/>
    </row>
    <row r="49" spans="1:11" x14ac:dyDescent="0.25">
      <c r="A49" s="24"/>
      <c r="B49" s="24" t="s">
        <v>35</v>
      </c>
      <c r="C49" s="24"/>
      <c r="D49" s="162">
        <v>0.45</v>
      </c>
      <c r="E49" s="24"/>
      <c r="F49" s="24"/>
      <c r="G49" s="24"/>
      <c r="H49" s="24"/>
      <c r="I49" s="24"/>
      <c r="J49" s="24"/>
      <c r="K49" s="24"/>
    </row>
    <row r="50" spans="1:11" x14ac:dyDescent="0.25">
      <c r="A50" s="24"/>
      <c r="B50" s="24" t="s">
        <v>9</v>
      </c>
      <c r="C50" s="24"/>
      <c r="D50" s="159">
        <v>425000</v>
      </c>
      <c r="E50" s="24"/>
      <c r="F50" s="24"/>
      <c r="G50" s="24"/>
      <c r="H50" s="24"/>
      <c r="I50" s="24"/>
      <c r="J50" s="24"/>
      <c r="K50" s="24"/>
    </row>
    <row r="51" spans="1:11" x14ac:dyDescent="0.25">
      <c r="A51" s="24"/>
      <c r="B51" s="24" t="s">
        <v>36</v>
      </c>
      <c r="C51" s="24"/>
      <c r="D51" s="126">
        <v>0.33300000000000002</v>
      </c>
      <c r="E51" s="24"/>
      <c r="F51" s="24"/>
      <c r="G51" s="24"/>
      <c r="H51" s="24"/>
      <c r="I51" s="24"/>
      <c r="J51" s="24"/>
      <c r="K51" s="24"/>
    </row>
    <row r="52" spans="1:11" x14ac:dyDescent="0.25">
      <c r="A52" s="24"/>
      <c r="B52" s="24" t="s">
        <v>37</v>
      </c>
      <c r="C52" s="24"/>
      <c r="D52" s="126">
        <v>0.44400000000000001</v>
      </c>
      <c r="E52" s="24"/>
      <c r="F52" s="24"/>
      <c r="G52" s="24"/>
      <c r="H52" s="24"/>
      <c r="I52" s="24"/>
      <c r="J52" s="24"/>
      <c r="K52" s="24"/>
    </row>
    <row r="53" spans="1:11" x14ac:dyDescent="0.25">
      <c r="A53" s="24"/>
      <c r="B53" s="24" t="s">
        <v>38</v>
      </c>
      <c r="C53" s="24"/>
      <c r="D53" s="126">
        <v>0.14799999999999999</v>
      </c>
      <c r="E53" s="24"/>
      <c r="F53" s="24"/>
      <c r="G53" s="24"/>
      <c r="H53" s="24"/>
      <c r="I53" s="24"/>
      <c r="J53" s="24"/>
      <c r="K53" s="24"/>
    </row>
    <row r="54" spans="1:11" x14ac:dyDescent="0.25">
      <c r="A54" s="24"/>
      <c r="B54" s="24" t="s">
        <v>39</v>
      </c>
      <c r="C54" s="24"/>
      <c r="D54" s="126">
        <v>7.3999999999999996E-2</v>
      </c>
      <c r="E54" s="24"/>
      <c r="F54" s="24"/>
      <c r="G54" s="24"/>
      <c r="H54" s="24"/>
      <c r="I54" s="24"/>
      <c r="J54" s="24"/>
      <c r="K54" s="24"/>
    </row>
    <row r="55" spans="1:11" x14ac:dyDescent="0.25">
      <c r="A55" s="24"/>
      <c r="B55" s="24" t="s">
        <v>40</v>
      </c>
      <c r="C55" s="24"/>
      <c r="D55" s="159">
        <v>80000</v>
      </c>
      <c r="E55" s="24"/>
      <c r="F55" s="24"/>
      <c r="G55" s="24"/>
      <c r="H55" s="24"/>
      <c r="I55" s="24"/>
      <c r="J55" s="24"/>
      <c r="K55" s="24"/>
    </row>
    <row r="56" spans="1:11" x14ac:dyDescent="0.25">
      <c r="A56" s="24"/>
      <c r="B56" s="24" t="s">
        <v>24</v>
      </c>
      <c r="C56" s="24"/>
      <c r="D56" s="162">
        <v>0.21</v>
      </c>
      <c r="E56" s="24"/>
      <c r="F56" s="24"/>
      <c r="G56" s="24"/>
      <c r="H56" s="24"/>
      <c r="I56" s="24"/>
      <c r="J56" s="24"/>
      <c r="K56" s="24"/>
    </row>
    <row r="57" spans="1:11" x14ac:dyDescent="0.25">
      <c r="A57" s="24"/>
      <c r="B57" s="24" t="s">
        <v>25</v>
      </c>
      <c r="C57" s="24"/>
      <c r="D57" s="162">
        <v>0.1</v>
      </c>
      <c r="E57" s="24"/>
      <c r="F57" s="24"/>
      <c r="G57" s="24"/>
      <c r="H57" s="24"/>
      <c r="I57" s="24"/>
      <c r="J57" s="24"/>
      <c r="K57" s="24"/>
    </row>
    <row r="58" spans="1:11" x14ac:dyDescent="0.25">
      <c r="A58" s="24"/>
      <c r="B58" s="24"/>
      <c r="C58" s="24"/>
      <c r="D58" s="25"/>
      <c r="E58" s="24"/>
      <c r="F58" s="24"/>
      <c r="G58" s="24"/>
      <c r="H58" s="24"/>
      <c r="I58" s="24"/>
      <c r="J58" s="24"/>
      <c r="K58" s="24"/>
    </row>
    <row r="59" spans="1:11" ht="31.5" customHeight="1" x14ac:dyDescent="0.25">
      <c r="A59" s="205" t="s">
        <v>71</v>
      </c>
      <c r="B59" s="205"/>
      <c r="C59" s="205"/>
      <c r="D59" s="205"/>
      <c r="E59" s="205"/>
      <c r="F59" s="205"/>
      <c r="G59" s="205"/>
      <c r="H59" s="205"/>
      <c r="I59" s="205"/>
      <c r="J59" s="205"/>
      <c r="K59" s="205"/>
    </row>
    <row r="60" spans="1:11" x14ac:dyDescent="0.25">
      <c r="A60" s="24"/>
      <c r="B60" s="24"/>
      <c r="C60" s="24"/>
      <c r="D60" s="25"/>
      <c r="E60" s="24"/>
      <c r="F60" s="24"/>
      <c r="G60" s="24"/>
      <c r="H60" s="24"/>
      <c r="I60" s="24"/>
      <c r="J60" s="24"/>
      <c r="K60" s="24"/>
    </row>
    <row r="61" spans="1:11" x14ac:dyDescent="0.25">
      <c r="A61" s="24"/>
      <c r="B61" s="49"/>
      <c r="C61" s="201" t="s">
        <v>55</v>
      </c>
      <c r="D61" s="201"/>
      <c r="E61" s="201"/>
      <c r="F61" s="202"/>
      <c r="G61" s="24"/>
      <c r="H61" s="24"/>
      <c r="I61" s="24"/>
      <c r="J61" s="24"/>
      <c r="K61" s="24"/>
    </row>
    <row r="62" spans="1:11" x14ac:dyDescent="0.25">
      <c r="A62" s="24"/>
      <c r="B62" s="37" t="s">
        <v>13</v>
      </c>
      <c r="C62" s="48">
        <v>1</v>
      </c>
      <c r="D62" s="48">
        <v>2</v>
      </c>
      <c r="E62" s="48">
        <v>3</v>
      </c>
      <c r="F62" s="50">
        <v>4</v>
      </c>
      <c r="G62" s="24"/>
      <c r="H62" s="24"/>
      <c r="I62" s="24"/>
      <c r="J62" s="24"/>
      <c r="K62" s="24"/>
    </row>
    <row r="63" spans="1:11" x14ac:dyDescent="0.25">
      <c r="A63" s="24"/>
      <c r="B63" s="37" t="s">
        <v>26</v>
      </c>
      <c r="C63" s="127">
        <f>$D$48*$D$47</f>
        <v>2739410.2502114424</v>
      </c>
      <c r="D63" s="127">
        <f>$D$48*$D$47</f>
        <v>2739410.2502114424</v>
      </c>
      <c r="E63" s="127">
        <f>$D$48*$D$47</f>
        <v>2739410.2502114424</v>
      </c>
      <c r="F63" s="128">
        <f>$D$48*$D$47</f>
        <v>2739410.2502114424</v>
      </c>
      <c r="G63" s="24"/>
      <c r="H63" s="24"/>
      <c r="I63" s="24"/>
      <c r="J63" s="24"/>
      <c r="K63" s="24"/>
    </row>
    <row r="64" spans="1:11" x14ac:dyDescent="0.25">
      <c r="A64" s="24"/>
      <c r="B64" s="37" t="s">
        <v>8</v>
      </c>
      <c r="C64" s="144">
        <f>C63*$D$49</f>
        <v>1232734.6125951491</v>
      </c>
      <c r="D64" s="144">
        <f>D63*$D$49</f>
        <v>1232734.6125951491</v>
      </c>
      <c r="E64" s="144">
        <f>E63*$D$49</f>
        <v>1232734.6125951491</v>
      </c>
      <c r="F64" s="145">
        <f>F63*$D$49</f>
        <v>1232734.6125951491</v>
      </c>
      <c r="G64" s="24"/>
      <c r="H64" s="24"/>
      <c r="I64" s="24"/>
      <c r="J64" s="24"/>
      <c r="K64" s="24"/>
    </row>
    <row r="65" spans="1:11" x14ac:dyDescent="0.25">
      <c r="A65" s="24"/>
      <c r="B65" s="37" t="s">
        <v>9</v>
      </c>
      <c r="C65" s="144">
        <f>$D$50</f>
        <v>425000</v>
      </c>
      <c r="D65" s="144">
        <f>$D$50</f>
        <v>425000</v>
      </c>
      <c r="E65" s="144">
        <f>$D$50</f>
        <v>425000</v>
      </c>
      <c r="F65" s="145">
        <f>$D$50</f>
        <v>425000</v>
      </c>
      <c r="G65" s="24"/>
      <c r="H65" s="24"/>
      <c r="I65" s="24"/>
      <c r="J65" s="24"/>
      <c r="K65" s="24"/>
    </row>
    <row r="66" spans="1:11" x14ac:dyDescent="0.25">
      <c r="A66" s="24"/>
      <c r="B66" s="37" t="s">
        <v>10</v>
      </c>
      <c r="C66" s="135">
        <f>$D$45*D51</f>
        <v>1098900</v>
      </c>
      <c r="D66" s="135">
        <f>$D$45*D52</f>
        <v>1465200</v>
      </c>
      <c r="E66" s="135">
        <f>$D$45*D53</f>
        <v>488400</v>
      </c>
      <c r="F66" s="136">
        <f>$D$45*D54</f>
        <v>244200</v>
      </c>
      <c r="G66" s="30"/>
      <c r="H66" s="24"/>
      <c r="I66" s="24"/>
      <c r="J66" s="24"/>
      <c r="K66" s="24"/>
    </row>
    <row r="67" spans="1:11" x14ac:dyDescent="0.25">
      <c r="A67" s="24"/>
      <c r="B67" s="37" t="s">
        <v>11</v>
      </c>
      <c r="C67" s="127">
        <f>C63-C64-C65-C66</f>
        <v>-17224.362383706728</v>
      </c>
      <c r="D67" s="127">
        <f t="shared" ref="D67:F67" si="0">D63-D64-D65-D66</f>
        <v>-383524.36238370673</v>
      </c>
      <c r="E67" s="127">
        <f t="shared" si="0"/>
        <v>593275.63761629327</v>
      </c>
      <c r="F67" s="128">
        <f t="shared" si="0"/>
        <v>837475.63761629327</v>
      </c>
      <c r="G67" s="28"/>
      <c r="H67" s="24"/>
      <c r="I67" s="24"/>
      <c r="J67" s="24"/>
      <c r="K67" s="24"/>
    </row>
    <row r="68" spans="1:11" x14ac:dyDescent="0.25">
      <c r="A68" s="24"/>
      <c r="B68" s="37" t="str">
        <f>"Taxes (" &amp; D56*100 &amp; "%)"</f>
        <v>Taxes (21%)</v>
      </c>
      <c r="C68" s="135">
        <f>C67*$D$56</f>
        <v>-3617.1161005784129</v>
      </c>
      <c r="D68" s="135">
        <f>D67*$D$56</f>
        <v>-80540.116100578409</v>
      </c>
      <c r="E68" s="135">
        <f>E67*$D$56</f>
        <v>124587.88389942158</v>
      </c>
      <c r="F68" s="136">
        <f>F67*$D$56</f>
        <v>175869.88389942158</v>
      </c>
      <c r="G68" s="31"/>
      <c r="H68" s="24"/>
      <c r="I68" s="24"/>
      <c r="J68" s="24"/>
      <c r="K68" s="24"/>
    </row>
    <row r="69" spans="1:11" x14ac:dyDescent="0.25">
      <c r="A69" s="24"/>
      <c r="B69" s="37" t="s">
        <v>12</v>
      </c>
      <c r="C69" s="127">
        <f>C67-C68</f>
        <v>-13607.246283128316</v>
      </c>
      <c r="D69" s="127">
        <f t="shared" ref="D69:F69" si="1">D67-D68</f>
        <v>-302984.24628312833</v>
      </c>
      <c r="E69" s="127">
        <f t="shared" si="1"/>
        <v>468687.75371687172</v>
      </c>
      <c r="F69" s="128">
        <f t="shared" si="1"/>
        <v>661605.75371687172</v>
      </c>
      <c r="G69" s="25"/>
      <c r="H69" s="24"/>
      <c r="I69" s="24"/>
      <c r="J69" s="24"/>
      <c r="K69" s="24"/>
    </row>
    <row r="70" spans="1:11" x14ac:dyDescent="0.25">
      <c r="A70" s="24"/>
      <c r="B70" s="45" t="s">
        <v>14</v>
      </c>
      <c r="C70" s="144">
        <f>C66</f>
        <v>1098900</v>
      </c>
      <c r="D70" s="144">
        <f t="shared" ref="D70:F70" si="2">D66</f>
        <v>1465200</v>
      </c>
      <c r="E70" s="144">
        <f t="shared" si="2"/>
        <v>488400</v>
      </c>
      <c r="F70" s="145">
        <f t="shared" si="2"/>
        <v>244200</v>
      </c>
      <c r="G70" s="27"/>
      <c r="H70" s="24"/>
      <c r="I70" s="24"/>
      <c r="J70" s="24"/>
      <c r="K70" s="24"/>
    </row>
    <row r="71" spans="1:11" ht="16.5" thickBot="1" x14ac:dyDescent="0.3">
      <c r="A71" s="24"/>
      <c r="B71" s="37" t="s">
        <v>27</v>
      </c>
      <c r="C71" s="141">
        <f>C69+C70</f>
        <v>1085292.7537168716</v>
      </c>
      <c r="D71" s="141">
        <f t="shared" ref="D71:F71" si="3">D69+D70</f>
        <v>1162215.7537168716</v>
      </c>
      <c r="E71" s="141">
        <f t="shared" si="3"/>
        <v>957087.75371687172</v>
      </c>
      <c r="F71" s="142">
        <f t="shared" si="3"/>
        <v>905805.75371687172</v>
      </c>
      <c r="G71" s="24"/>
      <c r="H71" s="24"/>
      <c r="I71" s="24"/>
      <c r="J71" s="24"/>
      <c r="K71" s="24"/>
    </row>
    <row r="72" spans="1:11" ht="16.5" thickTop="1" x14ac:dyDescent="0.25">
      <c r="A72" s="24"/>
      <c r="B72" s="39"/>
      <c r="C72" s="46"/>
      <c r="D72" s="46"/>
      <c r="E72" s="46"/>
      <c r="F72" s="41"/>
      <c r="G72" s="24"/>
      <c r="H72" s="24"/>
      <c r="I72" s="24"/>
      <c r="J72" s="24"/>
      <c r="K72" s="24"/>
    </row>
    <row r="73" spans="1:11" x14ac:dyDescent="0.25">
      <c r="A73" s="24"/>
      <c r="B73" s="24"/>
      <c r="C73" s="24"/>
      <c r="D73" s="24"/>
      <c r="E73" s="24"/>
      <c r="F73" s="24"/>
      <c r="G73" s="24"/>
      <c r="H73" s="24"/>
      <c r="I73" s="24"/>
      <c r="J73" s="24"/>
      <c r="K73" s="24"/>
    </row>
    <row r="74" spans="1:11" x14ac:dyDescent="0.25">
      <c r="A74" s="198" t="s">
        <v>31</v>
      </c>
      <c r="B74" s="198"/>
      <c r="C74" s="198"/>
      <c r="D74" s="198"/>
      <c r="E74" s="198"/>
      <c r="F74" s="198"/>
      <c r="G74" s="198"/>
      <c r="H74" s="198"/>
      <c r="I74" s="198"/>
      <c r="J74" s="198"/>
      <c r="K74" s="198"/>
    </row>
    <row r="75" spans="1:11" x14ac:dyDescent="0.25">
      <c r="H75" s="24"/>
      <c r="I75" s="24"/>
      <c r="J75" s="24"/>
      <c r="K75" s="24"/>
    </row>
    <row r="76" spans="1:11" x14ac:dyDescent="0.25">
      <c r="B76" s="17" t="s">
        <v>41</v>
      </c>
      <c r="D76" s="163">
        <f>D46</f>
        <v>75000</v>
      </c>
      <c r="H76" s="24"/>
      <c r="I76" s="24"/>
      <c r="J76" s="24"/>
      <c r="K76" s="24"/>
    </row>
    <row r="77" spans="1:11" x14ac:dyDescent="0.25">
      <c r="B77" s="17" t="s">
        <v>114</v>
      </c>
      <c r="D77" s="164">
        <f>(0-D46)*D56</f>
        <v>-15750</v>
      </c>
      <c r="H77" s="24"/>
      <c r="I77" s="24"/>
      <c r="J77" s="24"/>
      <c r="K77" s="24"/>
    </row>
    <row r="78" spans="1:11" x14ac:dyDescent="0.25">
      <c r="B78" s="17" t="s">
        <v>115</v>
      </c>
      <c r="D78" s="163">
        <f>D76+D77</f>
        <v>59250</v>
      </c>
      <c r="H78" s="24"/>
      <c r="I78" s="24"/>
      <c r="J78" s="24"/>
      <c r="K78" s="24"/>
    </row>
    <row r="79" spans="1:11" x14ac:dyDescent="0.25">
      <c r="H79" s="24"/>
      <c r="I79" s="24"/>
      <c r="J79" s="24"/>
      <c r="K79" s="24"/>
    </row>
    <row r="80" spans="1:11" x14ac:dyDescent="0.25">
      <c r="A80" s="198" t="s">
        <v>90</v>
      </c>
      <c r="B80" s="198"/>
      <c r="C80" s="198"/>
      <c r="D80" s="198"/>
      <c r="E80" s="198"/>
      <c r="F80" s="198"/>
      <c r="G80" s="198"/>
      <c r="H80" s="198"/>
      <c r="I80" s="198"/>
      <c r="J80" s="198"/>
      <c r="K80" s="198"/>
    </row>
    <row r="81" spans="1:14" x14ac:dyDescent="0.25">
      <c r="H81" s="24"/>
      <c r="I81" s="24"/>
      <c r="J81" s="24"/>
      <c r="K81" s="24"/>
    </row>
    <row r="82" spans="1:14" x14ac:dyDescent="0.25">
      <c r="B82" s="35"/>
      <c r="C82" s="199" t="s">
        <v>56</v>
      </c>
      <c r="D82" s="199"/>
      <c r="E82" s="199"/>
      <c r="F82" s="199"/>
      <c r="G82" s="200"/>
      <c r="H82" s="24"/>
      <c r="I82" s="24"/>
      <c r="J82" s="24"/>
      <c r="K82" s="24"/>
    </row>
    <row r="83" spans="1:14" x14ac:dyDescent="0.25">
      <c r="B83" s="37" t="s">
        <v>13</v>
      </c>
      <c r="C83" s="42">
        <v>0</v>
      </c>
      <c r="D83" s="42">
        <v>1</v>
      </c>
      <c r="E83" s="42">
        <v>2</v>
      </c>
      <c r="F83" s="42">
        <v>3</v>
      </c>
      <c r="G83" s="43">
        <v>4</v>
      </c>
      <c r="H83" s="24"/>
      <c r="I83" s="24"/>
      <c r="J83" s="24"/>
      <c r="K83" s="24"/>
    </row>
    <row r="84" spans="1:14" x14ac:dyDescent="0.25">
      <c r="B84" s="37" t="s">
        <v>27</v>
      </c>
      <c r="C84" s="143"/>
      <c r="D84" s="146">
        <f>C71</f>
        <v>1085292.7537168716</v>
      </c>
      <c r="E84" s="146">
        <f t="shared" ref="E84:G84" si="4">D71</f>
        <v>1162215.7537168716</v>
      </c>
      <c r="F84" s="146">
        <f t="shared" si="4"/>
        <v>957087.75371687172</v>
      </c>
      <c r="G84" s="165">
        <f t="shared" si="4"/>
        <v>905805.75371687172</v>
      </c>
      <c r="H84" s="24"/>
      <c r="I84" s="24"/>
      <c r="J84" s="24"/>
      <c r="K84" s="24"/>
    </row>
    <row r="85" spans="1:14" x14ac:dyDescent="0.25">
      <c r="B85" s="37" t="s">
        <v>32</v>
      </c>
      <c r="C85" s="127">
        <f>-D55</f>
        <v>-80000</v>
      </c>
      <c r="D85" s="131"/>
      <c r="E85" s="131"/>
      <c r="F85" s="131"/>
      <c r="G85" s="130">
        <f>D55</f>
        <v>80000</v>
      </c>
      <c r="H85" s="24"/>
      <c r="I85" s="24"/>
      <c r="J85" s="24"/>
      <c r="K85" s="24"/>
    </row>
    <row r="86" spans="1:14" x14ac:dyDescent="0.25">
      <c r="B86" s="37" t="s">
        <v>16</v>
      </c>
      <c r="C86" s="127">
        <f>-D45</f>
        <v>-3300000</v>
      </c>
      <c r="D86" s="131"/>
      <c r="E86" s="131"/>
      <c r="F86" s="131"/>
      <c r="G86" s="130">
        <f>D78</f>
        <v>59250</v>
      </c>
      <c r="H86" s="24"/>
      <c r="I86" s="24"/>
      <c r="J86" s="24"/>
      <c r="K86" s="24"/>
    </row>
    <row r="87" spans="1:14" ht="16.5" thickBot="1" x14ac:dyDescent="0.3">
      <c r="B87" s="37" t="s">
        <v>33</v>
      </c>
      <c r="C87" s="141">
        <f>C84+C85+C86</f>
        <v>-3380000</v>
      </c>
      <c r="D87" s="141">
        <f t="shared" ref="D87:G87" si="5">D84+D85+D86</f>
        <v>1085292.7537168716</v>
      </c>
      <c r="E87" s="141">
        <f t="shared" si="5"/>
        <v>1162215.7537168716</v>
      </c>
      <c r="F87" s="141">
        <f t="shared" si="5"/>
        <v>957087.75371687172</v>
      </c>
      <c r="G87" s="142">
        <f t="shared" si="5"/>
        <v>1045055.7537168717</v>
      </c>
      <c r="H87" s="24"/>
      <c r="I87" s="24"/>
      <c r="J87" s="24"/>
      <c r="K87" s="24"/>
    </row>
    <row r="88" spans="1:14" ht="16.5" thickTop="1" x14ac:dyDescent="0.25">
      <c r="B88" s="39"/>
      <c r="C88" s="46"/>
      <c r="D88" s="46"/>
      <c r="E88" s="46"/>
      <c r="F88" s="46"/>
      <c r="G88" s="41"/>
      <c r="H88" s="24"/>
      <c r="I88" s="24"/>
      <c r="J88" s="24"/>
      <c r="K88" s="24"/>
    </row>
    <row r="89" spans="1:14" x14ac:dyDescent="0.25">
      <c r="A89" s="24"/>
      <c r="B89" s="24"/>
      <c r="C89" s="24"/>
      <c r="D89" s="28"/>
      <c r="E89" s="28"/>
      <c r="F89" s="28"/>
      <c r="G89" s="28"/>
      <c r="H89" s="24"/>
      <c r="I89" s="24"/>
      <c r="J89" s="24"/>
      <c r="K89" s="24"/>
    </row>
    <row r="90" spans="1:14" x14ac:dyDescent="0.25">
      <c r="A90" s="205" t="s">
        <v>91</v>
      </c>
      <c r="B90" s="205"/>
      <c r="C90" s="205"/>
      <c r="D90" s="205"/>
      <c r="E90" s="205"/>
      <c r="F90" s="205"/>
      <c r="G90" s="205"/>
      <c r="H90" s="205"/>
      <c r="I90" s="205"/>
      <c r="J90" s="205"/>
      <c r="K90" s="205"/>
    </row>
    <row r="91" spans="1:14" x14ac:dyDescent="0.25">
      <c r="A91" s="24"/>
      <c r="B91" s="24"/>
      <c r="C91" s="24"/>
      <c r="D91" s="27"/>
      <c r="E91" s="24"/>
      <c r="F91" s="24"/>
      <c r="G91" s="27"/>
      <c r="H91" s="24"/>
      <c r="I91" s="24"/>
      <c r="J91" s="24"/>
      <c r="K91" s="24"/>
    </row>
    <row r="92" spans="1:14" x14ac:dyDescent="0.25">
      <c r="A92" s="24"/>
      <c r="B92" s="24" t="s">
        <v>17</v>
      </c>
      <c r="C92" s="166">
        <f>NPV(D57,D87:G87)+C87</f>
        <v>0</v>
      </c>
      <c r="D92" s="25"/>
      <c r="E92" s="24"/>
      <c r="F92" s="24"/>
      <c r="G92" s="24"/>
      <c r="H92" s="24"/>
      <c r="I92" s="24"/>
      <c r="J92" s="24"/>
      <c r="K92" s="24"/>
    </row>
    <row r="93" spans="1:14" x14ac:dyDescent="0.25">
      <c r="A93" s="24"/>
      <c r="B93" s="24"/>
      <c r="C93" s="24"/>
      <c r="D93" s="27"/>
      <c r="E93" s="27"/>
      <c r="F93" s="27"/>
      <c r="G93" s="27"/>
      <c r="H93" s="24"/>
      <c r="I93" s="24"/>
      <c r="J93" s="24"/>
      <c r="K93" s="24"/>
    </row>
    <row r="94" spans="1:14" x14ac:dyDescent="0.25">
      <c r="A94" s="205" t="s">
        <v>67</v>
      </c>
      <c r="B94" s="205"/>
      <c r="C94" s="205"/>
      <c r="D94" s="205"/>
      <c r="E94" s="205"/>
      <c r="F94" s="205"/>
      <c r="G94" s="205"/>
      <c r="H94" s="205"/>
      <c r="I94" s="205"/>
      <c r="J94" s="205"/>
      <c r="K94" s="205"/>
    </row>
    <row r="95" spans="1:14" x14ac:dyDescent="0.25">
      <c r="A95" s="24"/>
      <c r="B95" s="24"/>
      <c r="C95" s="24"/>
      <c r="D95" s="24"/>
      <c r="E95" s="24"/>
      <c r="F95" s="24"/>
      <c r="G95" s="24"/>
      <c r="H95" s="24"/>
      <c r="I95" s="24"/>
      <c r="J95" s="24"/>
      <c r="K95" s="24"/>
    </row>
    <row r="96" spans="1:14" s="23" customFormat="1" x14ac:dyDescent="0.25">
      <c r="A96" s="20" t="s">
        <v>28</v>
      </c>
      <c r="B96" s="21"/>
      <c r="C96" s="21"/>
      <c r="D96" s="21"/>
      <c r="E96" s="22"/>
      <c r="F96" s="21"/>
      <c r="G96" s="21"/>
      <c r="H96" s="21"/>
      <c r="I96" s="21"/>
      <c r="J96" s="21"/>
      <c r="K96" s="21"/>
      <c r="L96" s="21"/>
      <c r="M96" s="21"/>
      <c r="N96" s="21"/>
    </row>
    <row r="97" spans="1:14" s="23" customFormat="1" x14ac:dyDescent="0.25">
      <c r="A97" s="195" t="s">
        <v>58</v>
      </c>
      <c r="B97" s="195"/>
      <c r="C97" s="195"/>
      <c r="D97" s="195"/>
      <c r="E97" s="195"/>
      <c r="F97" s="195"/>
      <c r="G97" s="195"/>
      <c r="H97" s="195"/>
      <c r="I97" s="195"/>
      <c r="J97" s="195"/>
      <c r="K97" s="21"/>
      <c r="L97" s="21"/>
      <c r="M97" s="21"/>
      <c r="N97" s="21"/>
    </row>
    <row r="98" spans="1:14" s="23" customFormat="1" x14ac:dyDescent="0.25"/>
    <row r="99" spans="1:14" s="23" customFormat="1" x14ac:dyDescent="0.25"/>
    <row r="100" spans="1:14" s="29" customFormat="1" x14ac:dyDescent="0.25"/>
    <row r="101" spans="1:14" s="29" customFormat="1" x14ac:dyDescent="0.25"/>
    <row r="102" spans="1:14" s="29" customFormat="1" x14ac:dyDescent="0.25"/>
    <row r="103" spans="1:14" s="29" customFormat="1" x14ac:dyDescent="0.25"/>
    <row r="104" spans="1:14" s="29" customFormat="1" x14ac:dyDescent="0.25"/>
    <row r="105" spans="1:14" s="29" customFormat="1" x14ac:dyDescent="0.25"/>
    <row r="106" spans="1:14" s="29" customFormat="1" x14ac:dyDescent="0.25"/>
    <row r="107" spans="1:14" s="29" customFormat="1" x14ac:dyDescent="0.25"/>
    <row r="108" spans="1:14" s="29" customFormat="1" x14ac:dyDescent="0.25"/>
    <row r="109" spans="1:14" s="29" customFormat="1" x14ac:dyDescent="0.25"/>
    <row r="110" spans="1:14" s="29" customFormat="1" x14ac:dyDescent="0.25"/>
    <row r="111" spans="1:14" s="29" customFormat="1" x14ac:dyDescent="0.25"/>
    <row r="112" spans="1:14" s="29" customFormat="1" x14ac:dyDescent="0.25"/>
    <row r="113" spans="1:11" s="29" customFormat="1" x14ac:dyDescent="0.25"/>
    <row r="114" spans="1:11" s="29" customFormat="1" x14ac:dyDescent="0.25"/>
    <row r="115" spans="1:11" s="29" customFormat="1" x14ac:dyDescent="0.25"/>
    <row r="116" spans="1:11" s="29" customFormat="1" x14ac:dyDescent="0.25"/>
    <row r="117" spans="1:11" s="29" customFormat="1" x14ac:dyDescent="0.25"/>
    <row r="118" spans="1:11" s="29" customFormat="1" x14ac:dyDescent="0.25"/>
    <row r="119" spans="1:11" s="29" customFormat="1" x14ac:dyDescent="0.25"/>
    <row r="120" spans="1:11" s="29" customFormat="1" x14ac:dyDescent="0.25"/>
    <row r="121" spans="1:11" s="29" customFormat="1" x14ac:dyDescent="0.25"/>
    <row r="122" spans="1:11" s="29" customFormat="1" x14ac:dyDescent="0.25"/>
    <row r="123" spans="1:11" s="29" customFormat="1" x14ac:dyDescent="0.25"/>
    <row r="124" spans="1:11" s="29" customFormat="1" x14ac:dyDescent="0.25"/>
    <row r="125" spans="1:11" s="29" customFormat="1" x14ac:dyDescent="0.25"/>
    <row r="126" spans="1:11" s="29" customFormat="1" x14ac:dyDescent="0.25"/>
    <row r="127" spans="1:11" s="29" customFormat="1" ht="78.75" customHeight="1" x14ac:dyDescent="0.25">
      <c r="A127" s="206" t="s">
        <v>53</v>
      </c>
      <c r="B127" s="206"/>
      <c r="C127" s="206"/>
      <c r="D127" s="206"/>
      <c r="E127" s="206"/>
      <c r="F127" s="206"/>
      <c r="G127" s="206"/>
      <c r="H127" s="206"/>
      <c r="I127" s="206"/>
      <c r="J127" s="206"/>
      <c r="K127" s="206"/>
    </row>
    <row r="128" spans="1:11" s="29" customFormat="1" x14ac:dyDescent="0.25"/>
    <row r="129" spans="1:11" s="29" customFormat="1" x14ac:dyDescent="0.25">
      <c r="B129" s="29" t="s">
        <v>54</v>
      </c>
      <c r="D129" s="167">
        <f>'Bid price'!E21</f>
        <v>21.915299999999998</v>
      </c>
    </row>
    <row r="130" spans="1:11" s="29" customFormat="1" x14ac:dyDescent="0.25"/>
    <row r="131" spans="1:11" s="29" customFormat="1" x14ac:dyDescent="0.25">
      <c r="A131" s="29" t="s">
        <v>68</v>
      </c>
    </row>
    <row r="132" spans="1:11" s="29" customFormat="1" x14ac:dyDescent="0.25"/>
    <row r="133" spans="1:11" s="29" customFormat="1" ht="31.5" customHeight="1" x14ac:dyDescent="0.25">
      <c r="A133" s="203" t="s">
        <v>70</v>
      </c>
      <c r="B133" s="203"/>
      <c r="C133" s="203"/>
      <c r="D133" s="203"/>
      <c r="E133" s="203"/>
      <c r="F133" s="203"/>
      <c r="G133" s="203"/>
      <c r="H133" s="203"/>
      <c r="I133" s="203"/>
      <c r="J133" s="203"/>
      <c r="K133" s="203"/>
    </row>
    <row r="134" spans="1:11" s="29" customFormat="1" x14ac:dyDescent="0.25"/>
    <row r="135" spans="1:11" s="29" customFormat="1" ht="15.75" customHeight="1" x14ac:dyDescent="0.25">
      <c r="B135" s="206" t="s">
        <v>209</v>
      </c>
      <c r="C135" s="206"/>
      <c r="D135" s="206"/>
      <c r="E135" s="206"/>
      <c r="F135" s="206"/>
      <c r="G135" s="206"/>
      <c r="H135" s="206"/>
      <c r="I135" s="206"/>
      <c r="J135" s="206"/>
      <c r="K135" s="206"/>
    </row>
    <row r="136" spans="1:11" s="29" customFormat="1" x14ac:dyDescent="0.25">
      <c r="B136" s="29" t="s">
        <v>65</v>
      </c>
    </row>
    <row r="137" spans="1:11" s="29" customFormat="1" ht="31.5" customHeight="1" x14ac:dyDescent="0.25">
      <c r="B137" s="206" t="s">
        <v>210</v>
      </c>
      <c r="C137" s="206"/>
      <c r="D137" s="206"/>
      <c r="E137" s="206"/>
      <c r="F137" s="206"/>
      <c r="G137" s="206"/>
      <c r="H137" s="206"/>
      <c r="I137" s="206"/>
      <c r="J137" s="206"/>
      <c r="K137" s="206"/>
    </row>
    <row r="138" spans="1:11" s="29" customFormat="1" x14ac:dyDescent="0.25">
      <c r="B138" s="29" t="s">
        <v>66</v>
      </c>
    </row>
    <row r="139" spans="1:11" s="29" customFormat="1" x14ac:dyDescent="0.25"/>
  </sheetData>
  <scenarios current="0">
    <scenario name="Solver" count="1" user="Joe Smolira" comment="Created by Joe Smolira on 11/20/2008">
      <inputCells r="D48" val="22.6363352412223" numFmtId="164"/>
    </scenario>
  </scenarios>
  <mergeCells count="18">
    <mergeCell ref="B135:K135"/>
    <mergeCell ref="B137:K137"/>
    <mergeCell ref="A59:K59"/>
    <mergeCell ref="A94:K94"/>
    <mergeCell ref="A90:K90"/>
    <mergeCell ref="A80:K80"/>
    <mergeCell ref="A74:K74"/>
    <mergeCell ref="A127:K127"/>
    <mergeCell ref="A5:K5"/>
    <mergeCell ref="C61:F61"/>
    <mergeCell ref="C82:G82"/>
    <mergeCell ref="A133:K133"/>
    <mergeCell ref="A40:K40"/>
    <mergeCell ref="A41:K41"/>
    <mergeCell ref="A38:K38"/>
    <mergeCell ref="C17:D17"/>
    <mergeCell ref="A97:J97"/>
    <mergeCell ref="A43:K43"/>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2.28515625" customWidth="1"/>
    <col min="2" max="2" width="6.140625" customWidth="1"/>
    <col min="3" max="3" width="22.7109375" customWidth="1"/>
    <col min="4" max="4" width="13.7109375" bestFit="1" customWidth="1"/>
    <col min="5" max="5" width="10.85546875" bestFit="1" customWidth="1"/>
    <col min="6" max="6" width="7.7109375" customWidth="1"/>
    <col min="7" max="7" width="5.42578125" customWidth="1"/>
  </cols>
  <sheetData>
    <row r="1" spans="1:5" x14ac:dyDescent="0.25">
      <c r="A1" s="53" t="s">
        <v>204</v>
      </c>
    </row>
    <row r="2" spans="1:5" x14ac:dyDescent="0.25">
      <c r="A2" s="53" t="s">
        <v>205</v>
      </c>
    </row>
    <row r="3" spans="1:5" x14ac:dyDescent="0.25">
      <c r="A3" s="53" t="s">
        <v>226</v>
      </c>
    </row>
    <row r="4" spans="1:5" x14ac:dyDescent="0.25">
      <c r="A4" s="53" t="s">
        <v>182</v>
      </c>
    </row>
    <row r="5" spans="1:5" x14ac:dyDescent="0.25">
      <c r="A5" s="53" t="s">
        <v>183</v>
      </c>
    </row>
    <row r="6" spans="1:5" x14ac:dyDescent="0.25">
      <c r="A6" s="53"/>
      <c r="B6" t="s">
        <v>184</v>
      </c>
    </row>
    <row r="7" spans="1:5" x14ac:dyDescent="0.25">
      <c r="A7" s="53"/>
      <c r="B7" t="s">
        <v>206</v>
      </c>
    </row>
    <row r="8" spans="1:5" x14ac:dyDescent="0.25">
      <c r="A8" s="53"/>
      <c r="B8" t="s">
        <v>185</v>
      </c>
    </row>
    <row r="9" spans="1:5" x14ac:dyDescent="0.25">
      <c r="A9" s="53" t="s">
        <v>186</v>
      </c>
    </row>
    <row r="10" spans="1:5" x14ac:dyDescent="0.25">
      <c r="B10" t="s">
        <v>187</v>
      </c>
    </row>
    <row r="11" spans="1:5" x14ac:dyDescent="0.25">
      <c r="B11" t="s">
        <v>188</v>
      </c>
    </row>
    <row r="12" spans="1:5" x14ac:dyDescent="0.25">
      <c r="B12" t="s">
        <v>189</v>
      </c>
    </row>
    <row r="14" spans="1:5" ht="15.75" thickBot="1" x14ac:dyDescent="0.3">
      <c r="A14" t="s">
        <v>190</v>
      </c>
    </row>
    <row r="15" spans="1:5" ht="15.75" thickBot="1" x14ac:dyDescent="0.3">
      <c r="B15" s="116" t="s">
        <v>59</v>
      </c>
      <c r="C15" s="116" t="s">
        <v>60</v>
      </c>
      <c r="D15" s="116" t="s">
        <v>61</v>
      </c>
      <c r="E15" s="116" t="s">
        <v>62</v>
      </c>
    </row>
    <row r="16" spans="1:5" ht="15.75" thickBot="1" x14ac:dyDescent="0.3">
      <c r="B16" s="54" t="s">
        <v>132</v>
      </c>
      <c r="C16" s="54" t="s">
        <v>64</v>
      </c>
      <c r="D16" s="55">
        <v>531075.28280000004</v>
      </c>
      <c r="E16" s="55">
        <v>0</v>
      </c>
    </row>
    <row r="19" spans="1:7" ht="15.75" thickBot="1" x14ac:dyDescent="0.3">
      <c r="A19" t="s">
        <v>191</v>
      </c>
    </row>
    <row r="20" spans="1:7" ht="15.75" thickBot="1" x14ac:dyDescent="0.3">
      <c r="B20" s="116" t="s">
        <v>59</v>
      </c>
      <c r="C20" s="116" t="s">
        <v>60</v>
      </c>
      <c r="D20" s="116" t="s">
        <v>61</v>
      </c>
      <c r="E20" s="116" t="s">
        <v>62</v>
      </c>
      <c r="F20" s="116" t="s">
        <v>192</v>
      </c>
    </row>
    <row r="21" spans="1:7" ht="45.75" thickBot="1" x14ac:dyDescent="0.3">
      <c r="B21" s="54" t="s">
        <v>133</v>
      </c>
      <c r="C21" s="84" t="s">
        <v>134</v>
      </c>
      <c r="D21" s="56">
        <v>25</v>
      </c>
      <c r="E21" s="56">
        <v>21.915299999999998</v>
      </c>
      <c r="F21" s="54" t="s">
        <v>197</v>
      </c>
    </row>
    <row r="24" spans="1:7" ht="15.75" thickBot="1" x14ac:dyDescent="0.3">
      <c r="A24" t="s">
        <v>63</v>
      </c>
    </row>
    <row r="25" spans="1:7" ht="15.75" thickBot="1" x14ac:dyDescent="0.3">
      <c r="B25" s="116" t="s">
        <v>59</v>
      </c>
      <c r="C25" s="116" t="s">
        <v>60</v>
      </c>
      <c r="D25" s="116" t="s">
        <v>193</v>
      </c>
      <c r="E25" s="116" t="s">
        <v>194</v>
      </c>
      <c r="F25" s="116" t="s">
        <v>195</v>
      </c>
      <c r="G25" s="116" t="s">
        <v>196</v>
      </c>
    </row>
    <row r="26" spans="1:7" ht="15.75" thickBot="1" x14ac:dyDescent="0.3">
      <c r="B26" s="54" t="s">
        <v>132</v>
      </c>
      <c r="C26" s="54" t="s">
        <v>64</v>
      </c>
      <c r="D26" s="55">
        <v>0</v>
      </c>
      <c r="E26" s="54" t="s">
        <v>198</v>
      </c>
      <c r="F26" s="54" t="s">
        <v>199</v>
      </c>
      <c r="G26" s="5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zoomScaleNormal="100" workbookViewId="0"/>
  </sheetViews>
  <sheetFormatPr defaultRowHeight="15.75" x14ac:dyDescent="0.25"/>
  <cols>
    <col min="1" max="1" width="4.7109375" style="17" customWidth="1"/>
    <col min="2" max="2" width="16.7109375" style="17" customWidth="1"/>
    <col min="3" max="26" width="14.7109375" style="17" customWidth="1"/>
    <col min="27" max="36" width="10.7109375" style="17" customWidth="1"/>
    <col min="37" max="16384" width="9.140625" style="17"/>
  </cols>
  <sheetData>
    <row r="1" spans="1:19" ht="16.5" thickBot="1" x14ac:dyDescent="0.3"/>
    <row r="2" spans="1:19" ht="21" x14ac:dyDescent="0.35">
      <c r="B2" s="57" t="s">
        <v>129</v>
      </c>
      <c r="C2" s="58"/>
      <c r="D2" s="59"/>
    </row>
    <row r="3" spans="1:19" s="2" customFormat="1" ht="21.75" thickBot="1" x14ac:dyDescent="0.4">
      <c r="B3" s="60" t="s">
        <v>122</v>
      </c>
      <c r="C3" s="61"/>
      <c r="D3" s="62"/>
    </row>
    <row r="5" spans="1:19" ht="31.5" customHeight="1" x14ac:dyDescent="0.25">
      <c r="A5" s="198" t="s">
        <v>231</v>
      </c>
      <c r="B5" s="198"/>
      <c r="C5" s="198"/>
      <c r="D5" s="198"/>
      <c r="E5" s="198"/>
      <c r="F5" s="198"/>
      <c r="G5" s="198"/>
      <c r="H5" s="198"/>
      <c r="I5" s="198"/>
      <c r="J5" s="198"/>
      <c r="K5" s="198"/>
    </row>
    <row r="7" spans="1:19" x14ac:dyDescent="0.25">
      <c r="A7" s="197" t="s">
        <v>203</v>
      </c>
      <c r="B7" s="197"/>
      <c r="C7" s="197"/>
      <c r="D7" s="197"/>
    </row>
    <row r="8" spans="1:19" ht="31.5" customHeight="1" x14ac:dyDescent="0.25">
      <c r="A8" s="198" t="s">
        <v>232</v>
      </c>
      <c r="B8" s="198"/>
      <c r="C8" s="198"/>
      <c r="D8" s="198"/>
      <c r="E8" s="198"/>
      <c r="F8" s="198"/>
      <c r="G8" s="198"/>
      <c r="H8" s="198"/>
      <c r="I8" s="198"/>
      <c r="J8" s="198"/>
      <c r="K8" s="198"/>
    </row>
    <row r="10" spans="1:19" x14ac:dyDescent="0.25">
      <c r="D10" s="77" t="s">
        <v>117</v>
      </c>
      <c r="E10" s="77" t="s">
        <v>80</v>
      </c>
      <c r="F10" s="77" t="s">
        <v>81</v>
      </c>
    </row>
    <row r="11" spans="1:19" x14ac:dyDescent="0.25">
      <c r="B11" s="17" t="s">
        <v>124</v>
      </c>
      <c r="D11" s="125">
        <v>1210</v>
      </c>
      <c r="E11" s="125"/>
      <c r="F11" s="125"/>
      <c r="S11" s="33"/>
    </row>
    <row r="12" spans="1:19" x14ac:dyDescent="0.25">
      <c r="B12" s="17" t="s">
        <v>227</v>
      </c>
      <c r="D12" s="125"/>
      <c r="E12" s="125">
        <v>1900</v>
      </c>
      <c r="F12" s="125">
        <v>2000</v>
      </c>
      <c r="O12" s="33"/>
      <c r="P12" s="33"/>
      <c r="Q12" s="33"/>
      <c r="S12" s="33"/>
    </row>
    <row r="13" spans="1:19" x14ac:dyDescent="0.25">
      <c r="B13" s="17" t="s">
        <v>228</v>
      </c>
      <c r="D13" s="123"/>
      <c r="E13" s="121">
        <v>950</v>
      </c>
      <c r="F13" s="121">
        <v>1000</v>
      </c>
      <c r="O13" s="112"/>
      <c r="S13" s="33"/>
    </row>
    <row r="14" spans="1:19" x14ac:dyDescent="0.25">
      <c r="B14" s="17" t="s">
        <v>10</v>
      </c>
      <c r="E14" s="169">
        <f>SLN(D11,0,2)</f>
        <v>605</v>
      </c>
      <c r="F14" s="169">
        <f>SLN(D11,0,2)</f>
        <v>605</v>
      </c>
      <c r="O14" s="33"/>
      <c r="P14" s="113"/>
      <c r="S14" s="33"/>
    </row>
    <row r="15" spans="1:19" x14ac:dyDescent="0.25">
      <c r="O15" s="33"/>
      <c r="S15" s="33"/>
    </row>
    <row r="16" spans="1:19" x14ac:dyDescent="0.25">
      <c r="B16" s="17" t="s">
        <v>99</v>
      </c>
      <c r="C16" s="168">
        <v>0.1</v>
      </c>
    </row>
    <row r="17" spans="1:14" x14ac:dyDescent="0.25">
      <c r="B17" s="17" t="s">
        <v>229</v>
      </c>
      <c r="C17" s="168">
        <v>0.155</v>
      </c>
    </row>
    <row r="18" spans="1:14" x14ac:dyDescent="0.25">
      <c r="B18" s="17" t="s">
        <v>230</v>
      </c>
      <c r="C18" s="170">
        <f>((1+C17)/(1+C16))-1</f>
        <v>5.0000000000000044E-2</v>
      </c>
    </row>
    <row r="19" spans="1:14" x14ac:dyDescent="0.25">
      <c r="B19" s="17" t="s">
        <v>24</v>
      </c>
      <c r="C19" s="168">
        <v>0.21</v>
      </c>
    </row>
    <row r="21" spans="1:14" s="23" customFormat="1" x14ac:dyDescent="0.25">
      <c r="A21" s="20" t="s">
        <v>28</v>
      </c>
      <c r="B21" s="21"/>
      <c r="C21" s="21"/>
      <c r="D21" s="21"/>
      <c r="E21" s="22"/>
      <c r="F21" s="21"/>
      <c r="G21" s="21"/>
      <c r="H21" s="21"/>
      <c r="I21" s="21"/>
      <c r="J21" s="21"/>
      <c r="K21" s="21"/>
      <c r="L21" s="21"/>
      <c r="M21" s="21"/>
      <c r="N21" s="21"/>
    </row>
    <row r="22" spans="1:14" s="23" customFormat="1" ht="31.5" customHeight="1" x14ac:dyDescent="0.25">
      <c r="A22" s="195" t="s">
        <v>211</v>
      </c>
      <c r="B22" s="195"/>
      <c r="C22" s="195"/>
      <c r="D22" s="195"/>
      <c r="E22" s="195"/>
      <c r="F22" s="195"/>
      <c r="G22" s="195"/>
      <c r="H22" s="195"/>
      <c r="I22" s="195"/>
      <c r="J22" s="195"/>
      <c r="K22" s="195"/>
      <c r="L22" s="21"/>
      <c r="M22" s="21"/>
      <c r="N22" s="21"/>
    </row>
    <row r="23" spans="1:14" s="23" customFormat="1" ht="15.75" customHeight="1" x14ac:dyDescent="0.25">
      <c r="A23" s="34"/>
      <c r="B23" s="34"/>
      <c r="C23" s="34"/>
      <c r="D23" s="34"/>
      <c r="E23" s="34"/>
      <c r="F23" s="34"/>
      <c r="G23" s="34"/>
      <c r="H23" s="34"/>
      <c r="I23" s="34"/>
      <c r="J23" s="34"/>
      <c r="K23" s="34"/>
      <c r="L23" s="21"/>
      <c r="M23" s="21"/>
      <c r="N23" s="21"/>
    </row>
    <row r="24" spans="1:14" s="23" customFormat="1" ht="15.75" customHeight="1" x14ac:dyDescent="0.25">
      <c r="A24" s="34"/>
      <c r="B24" s="34"/>
      <c r="C24" s="34"/>
      <c r="D24" s="34"/>
      <c r="E24" s="34"/>
      <c r="F24" s="34"/>
      <c r="G24" s="34"/>
      <c r="H24" s="34"/>
      <c r="I24" s="34"/>
      <c r="J24" s="34"/>
      <c r="K24" s="34"/>
      <c r="L24" s="21"/>
      <c r="M24" s="21"/>
      <c r="N24" s="21"/>
    </row>
    <row r="25" spans="1:14" s="23" customFormat="1" ht="15.75" customHeight="1" x14ac:dyDescent="0.25">
      <c r="A25" s="34"/>
      <c r="B25" s="34"/>
      <c r="C25" s="34"/>
      <c r="D25" s="34"/>
      <c r="E25" s="34"/>
      <c r="F25" s="34"/>
      <c r="G25" s="34"/>
      <c r="H25" s="34"/>
      <c r="I25" s="34"/>
      <c r="J25" s="34"/>
      <c r="K25" s="34"/>
      <c r="L25" s="21"/>
      <c r="M25" s="21"/>
      <c r="N25" s="21"/>
    </row>
    <row r="26" spans="1:14" s="23" customFormat="1" ht="15.75" customHeight="1" x14ac:dyDescent="0.25">
      <c r="A26" s="34"/>
      <c r="B26" s="34"/>
      <c r="C26" s="34"/>
      <c r="D26" s="34"/>
      <c r="E26" s="34"/>
      <c r="F26" s="34"/>
      <c r="G26" s="34"/>
      <c r="H26" s="34"/>
      <c r="I26" s="34"/>
      <c r="J26" s="34"/>
      <c r="K26" s="34"/>
      <c r="L26" s="21"/>
      <c r="M26" s="21"/>
      <c r="N26" s="21"/>
    </row>
    <row r="27" spans="1:14" s="23" customFormat="1" ht="15.75" customHeight="1" x14ac:dyDescent="0.25">
      <c r="A27" s="34"/>
      <c r="B27" s="34"/>
      <c r="C27" s="34"/>
      <c r="D27" s="34"/>
      <c r="E27" s="34"/>
      <c r="F27" s="34"/>
      <c r="G27" s="34"/>
      <c r="H27" s="34"/>
      <c r="I27" s="34"/>
      <c r="J27" s="34"/>
      <c r="K27" s="34"/>
      <c r="L27" s="21"/>
      <c r="M27" s="21"/>
      <c r="N27" s="21"/>
    </row>
    <row r="28" spans="1:14" s="23" customFormat="1" ht="15.75" customHeight="1" x14ac:dyDescent="0.25">
      <c r="A28" s="34"/>
      <c r="B28" s="34"/>
      <c r="C28" s="34"/>
      <c r="D28" s="34"/>
      <c r="E28" s="34"/>
      <c r="F28" s="34"/>
      <c r="G28" s="34"/>
      <c r="H28" s="34"/>
      <c r="I28" s="34"/>
      <c r="J28" s="34"/>
      <c r="K28" s="34"/>
      <c r="L28" s="21"/>
      <c r="M28" s="21"/>
      <c r="N28" s="21"/>
    </row>
    <row r="29" spans="1:14" s="23" customFormat="1" ht="15.75" customHeight="1" x14ac:dyDescent="0.25">
      <c r="A29" s="34"/>
      <c r="B29" s="34"/>
      <c r="C29" s="34"/>
      <c r="D29" s="34"/>
      <c r="E29" s="34"/>
      <c r="F29" s="34"/>
      <c r="G29" s="34"/>
      <c r="H29" s="34"/>
      <c r="I29" s="34"/>
      <c r="J29" s="34"/>
      <c r="K29" s="34"/>
      <c r="L29" s="21"/>
      <c r="M29" s="21"/>
      <c r="N29" s="21"/>
    </row>
    <row r="30" spans="1:14" s="23" customFormat="1" ht="15.75" customHeight="1" x14ac:dyDescent="0.25">
      <c r="A30" s="34"/>
      <c r="B30" s="34"/>
      <c r="C30" s="34"/>
      <c r="D30" s="34"/>
      <c r="E30" s="34"/>
      <c r="F30" s="34"/>
      <c r="G30" s="34"/>
      <c r="H30" s="34"/>
      <c r="I30" s="34"/>
      <c r="J30" s="34"/>
      <c r="K30" s="34"/>
      <c r="L30" s="21"/>
      <c r="M30" s="21"/>
      <c r="N30" s="21"/>
    </row>
    <row r="31" spans="1:14" s="23" customFormat="1" x14ac:dyDescent="0.25">
      <c r="D31" s="47"/>
    </row>
    <row r="32" spans="1:14" s="23" customFormat="1" x14ac:dyDescent="0.25">
      <c r="D32" s="47"/>
    </row>
    <row r="33" spans="1:11" s="23" customFormat="1" x14ac:dyDescent="0.25">
      <c r="D33" s="47"/>
    </row>
    <row r="34" spans="1:11" s="23" customFormat="1" x14ac:dyDescent="0.25">
      <c r="D34" s="47"/>
    </row>
    <row r="35" spans="1:11" s="23" customFormat="1" x14ac:dyDescent="0.25">
      <c r="D35" s="47"/>
    </row>
    <row r="36" spans="1:11" s="23" customFormat="1" x14ac:dyDescent="0.25">
      <c r="D36" s="47"/>
    </row>
    <row r="37" spans="1:11" s="23" customFormat="1" x14ac:dyDescent="0.25">
      <c r="D37" s="47"/>
    </row>
    <row r="38" spans="1:11" s="23" customFormat="1" x14ac:dyDescent="0.25">
      <c r="D38" s="47"/>
    </row>
    <row r="39" spans="1:11" s="23" customFormat="1" ht="31.5" customHeight="1" x14ac:dyDescent="0.25">
      <c r="A39" s="196" t="s">
        <v>94</v>
      </c>
      <c r="B39" s="196"/>
      <c r="C39" s="196"/>
      <c r="D39" s="196"/>
      <c r="E39" s="196"/>
      <c r="F39" s="196"/>
      <c r="G39" s="196"/>
      <c r="H39" s="196"/>
      <c r="I39" s="196"/>
      <c r="J39" s="196"/>
      <c r="K39" s="196"/>
    </row>
    <row r="40" spans="1:11" s="23" customFormat="1" x14ac:dyDescent="0.25">
      <c r="D40" s="47"/>
    </row>
    <row r="42" spans="1:11" x14ac:dyDescent="0.25">
      <c r="A42" s="198" t="s">
        <v>123</v>
      </c>
      <c r="B42" s="198"/>
      <c r="C42" s="198"/>
      <c r="D42" s="198"/>
      <c r="E42" s="198"/>
      <c r="F42" s="198"/>
      <c r="G42" s="198"/>
      <c r="H42" s="198"/>
      <c r="I42" s="198"/>
      <c r="J42" s="198"/>
      <c r="K42" s="198"/>
    </row>
    <row r="44" spans="1:11" x14ac:dyDescent="0.25">
      <c r="B44" s="207" t="s">
        <v>180</v>
      </c>
      <c r="C44" s="199"/>
      <c r="D44" s="199"/>
      <c r="E44" s="199"/>
      <c r="F44" s="200"/>
    </row>
    <row r="45" spans="1:11" x14ac:dyDescent="0.25">
      <c r="B45" s="37"/>
      <c r="C45" s="38"/>
      <c r="D45" s="81" t="s">
        <v>117</v>
      </c>
      <c r="E45" s="81" t="s">
        <v>80</v>
      </c>
      <c r="F45" s="82" t="s">
        <v>81</v>
      </c>
    </row>
    <row r="46" spans="1:11" x14ac:dyDescent="0.25">
      <c r="B46" s="37" t="s">
        <v>124</v>
      </c>
      <c r="C46" s="143"/>
      <c r="D46" s="127">
        <f>-D11</f>
        <v>-1210</v>
      </c>
      <c r="E46" s="143"/>
      <c r="F46" s="171"/>
    </row>
    <row r="47" spans="1:11" x14ac:dyDescent="0.25">
      <c r="B47" s="37" t="s">
        <v>26</v>
      </c>
      <c r="C47" s="143"/>
      <c r="D47" s="143"/>
      <c r="E47" s="127">
        <f>E12*(1+C16)</f>
        <v>2090</v>
      </c>
      <c r="F47" s="128">
        <f>F12*(1+C16)^2</f>
        <v>2420.0000000000005</v>
      </c>
    </row>
    <row r="48" spans="1:11" x14ac:dyDescent="0.25">
      <c r="B48" s="37" t="s">
        <v>125</v>
      </c>
      <c r="C48" s="143"/>
      <c r="D48" s="143"/>
      <c r="E48" s="144">
        <f>E13*(1+C16)</f>
        <v>1045</v>
      </c>
      <c r="F48" s="145">
        <f>F13*(1+C16)^2</f>
        <v>1210.0000000000002</v>
      </c>
    </row>
    <row r="49" spans="1:11" x14ac:dyDescent="0.25">
      <c r="B49" s="37" t="s">
        <v>10</v>
      </c>
      <c r="C49" s="143"/>
      <c r="D49" s="143"/>
      <c r="E49" s="135">
        <f>E14</f>
        <v>605</v>
      </c>
      <c r="F49" s="136">
        <f>F14</f>
        <v>605</v>
      </c>
    </row>
    <row r="50" spans="1:11" x14ac:dyDescent="0.25">
      <c r="B50" s="37" t="s">
        <v>126</v>
      </c>
      <c r="C50" s="143"/>
      <c r="D50" s="143"/>
      <c r="E50" s="127">
        <f>E47-E48-E49</f>
        <v>440</v>
      </c>
      <c r="F50" s="128">
        <f>F47-F48-F49</f>
        <v>605.00000000000023</v>
      </c>
    </row>
    <row r="51" spans="1:11" x14ac:dyDescent="0.25">
      <c r="B51" s="37" t="str">
        <f>"Taxes ("&amp;C19*100&amp;"%)"</f>
        <v>Taxes (21%)</v>
      </c>
      <c r="C51" s="143"/>
      <c r="D51" s="143"/>
      <c r="E51" s="135">
        <f>E50*$C$19</f>
        <v>92.399999999999991</v>
      </c>
      <c r="F51" s="136">
        <f>F50*$C$19</f>
        <v>127.05000000000004</v>
      </c>
    </row>
    <row r="52" spans="1:11" x14ac:dyDescent="0.25">
      <c r="B52" s="37" t="s">
        <v>127</v>
      </c>
      <c r="C52" s="143"/>
      <c r="D52" s="143"/>
      <c r="E52" s="127">
        <f>E50-E51</f>
        <v>347.6</v>
      </c>
      <c r="F52" s="128">
        <f>F50-F51</f>
        <v>477.95000000000016</v>
      </c>
    </row>
    <row r="53" spans="1:11" x14ac:dyDescent="0.25">
      <c r="B53" s="37" t="s">
        <v>10</v>
      </c>
      <c r="C53" s="143"/>
      <c r="D53" s="143"/>
      <c r="E53" s="135">
        <f>E49</f>
        <v>605</v>
      </c>
      <c r="F53" s="136">
        <f>F49</f>
        <v>605</v>
      </c>
    </row>
    <row r="54" spans="1:11" x14ac:dyDescent="0.25">
      <c r="B54" s="37" t="s">
        <v>88</v>
      </c>
      <c r="C54" s="143"/>
      <c r="D54" s="143"/>
      <c r="E54" s="127">
        <f>E52+E53</f>
        <v>952.6</v>
      </c>
      <c r="F54" s="128">
        <f>F52+F53</f>
        <v>1082.9500000000003</v>
      </c>
    </row>
    <row r="55" spans="1:11" x14ac:dyDescent="0.25">
      <c r="B55" s="37"/>
      <c r="C55" s="143"/>
      <c r="D55" s="143"/>
      <c r="E55" s="143"/>
      <c r="F55" s="171"/>
    </row>
    <row r="56" spans="1:11" x14ac:dyDescent="0.25">
      <c r="B56" s="39" t="str">
        <f>"NPV @ "&amp;C17*100&amp;"%"</f>
        <v>NPV @ 15.5%</v>
      </c>
      <c r="C56" s="172">
        <f>NPV(C17,E54:F54)+D46</f>
        <v>426.55328798185951</v>
      </c>
      <c r="D56" s="173"/>
      <c r="E56" s="173"/>
      <c r="F56" s="174"/>
    </row>
    <row r="58" spans="1:11" x14ac:dyDescent="0.25">
      <c r="A58" s="198" t="s">
        <v>128</v>
      </c>
      <c r="B58" s="198"/>
      <c r="C58" s="198"/>
      <c r="D58" s="198"/>
      <c r="E58" s="198"/>
      <c r="F58" s="198"/>
      <c r="G58" s="198"/>
      <c r="H58" s="198"/>
      <c r="I58" s="198"/>
      <c r="J58" s="198"/>
      <c r="K58" s="198"/>
    </row>
    <row r="60" spans="1:11" x14ac:dyDescent="0.25">
      <c r="B60" s="207" t="s">
        <v>181</v>
      </c>
      <c r="C60" s="199"/>
      <c r="D60" s="199"/>
      <c r="E60" s="199"/>
      <c r="F60" s="200"/>
    </row>
    <row r="61" spans="1:11" x14ac:dyDescent="0.25">
      <c r="B61" s="37"/>
      <c r="C61" s="38"/>
      <c r="D61" s="81" t="s">
        <v>117</v>
      </c>
      <c r="E61" s="81" t="s">
        <v>80</v>
      </c>
      <c r="F61" s="82" t="s">
        <v>81</v>
      </c>
    </row>
    <row r="62" spans="1:11" x14ac:dyDescent="0.25">
      <c r="B62" s="37" t="s">
        <v>124</v>
      </c>
      <c r="C62" s="38"/>
      <c r="D62" s="127">
        <f>-D11</f>
        <v>-1210</v>
      </c>
      <c r="E62" s="143"/>
      <c r="F62" s="171"/>
    </row>
    <row r="63" spans="1:11" x14ac:dyDescent="0.25">
      <c r="B63" s="37" t="s">
        <v>26</v>
      </c>
      <c r="C63" s="38"/>
      <c r="D63" s="143"/>
      <c r="E63" s="127">
        <f>E12</f>
        <v>1900</v>
      </c>
      <c r="F63" s="128">
        <f>F12</f>
        <v>2000</v>
      </c>
    </row>
    <row r="64" spans="1:11" x14ac:dyDescent="0.25">
      <c r="B64" s="37" t="s">
        <v>125</v>
      </c>
      <c r="C64" s="38"/>
      <c r="D64" s="143"/>
      <c r="E64" s="144">
        <f>E13</f>
        <v>950</v>
      </c>
      <c r="F64" s="145">
        <f>F13</f>
        <v>1000</v>
      </c>
    </row>
    <row r="65" spans="1:11" x14ac:dyDescent="0.25">
      <c r="B65" s="37" t="s">
        <v>10</v>
      </c>
      <c r="C65" s="38"/>
      <c r="D65" s="143"/>
      <c r="E65" s="135">
        <f>E14/(1+C16)</f>
        <v>550</v>
      </c>
      <c r="F65" s="136">
        <f>F14/(1+C16)^2</f>
        <v>499.99999999999994</v>
      </c>
    </row>
    <row r="66" spans="1:11" x14ac:dyDescent="0.25">
      <c r="B66" s="37" t="s">
        <v>126</v>
      </c>
      <c r="C66" s="38"/>
      <c r="D66" s="143"/>
      <c r="E66" s="127">
        <f>E63-E64-E65</f>
        <v>400</v>
      </c>
      <c r="F66" s="128">
        <f>F63-F64-F65</f>
        <v>500.00000000000006</v>
      </c>
      <c r="G66" s="114"/>
    </row>
    <row r="67" spans="1:11" x14ac:dyDescent="0.25">
      <c r="B67" s="37" t="str">
        <f>B51</f>
        <v>Taxes (21%)</v>
      </c>
      <c r="C67" s="38"/>
      <c r="D67" s="143"/>
      <c r="E67" s="135">
        <f>E66*$C$19</f>
        <v>84</v>
      </c>
      <c r="F67" s="136">
        <f>F66*$C$19</f>
        <v>105.00000000000001</v>
      </c>
    </row>
    <row r="68" spans="1:11" x14ac:dyDescent="0.25">
      <c r="B68" s="37" t="s">
        <v>127</v>
      </c>
      <c r="C68" s="38"/>
      <c r="D68" s="143"/>
      <c r="E68" s="127">
        <f>E66-E67</f>
        <v>316</v>
      </c>
      <c r="F68" s="128">
        <f>F66-F67</f>
        <v>395.00000000000006</v>
      </c>
    </row>
    <row r="69" spans="1:11" x14ac:dyDescent="0.25">
      <c r="B69" s="37" t="s">
        <v>10</v>
      </c>
      <c r="C69" s="38"/>
      <c r="D69" s="143"/>
      <c r="E69" s="135">
        <f>E65</f>
        <v>550</v>
      </c>
      <c r="F69" s="136">
        <f>F65</f>
        <v>499.99999999999994</v>
      </c>
    </row>
    <row r="70" spans="1:11" x14ac:dyDescent="0.25">
      <c r="B70" s="37" t="s">
        <v>88</v>
      </c>
      <c r="C70" s="38"/>
      <c r="D70" s="143"/>
      <c r="E70" s="127">
        <f>E68+E69</f>
        <v>866</v>
      </c>
      <c r="F70" s="128">
        <f>F68+F69</f>
        <v>895</v>
      </c>
    </row>
    <row r="71" spans="1:11" x14ac:dyDescent="0.25">
      <c r="B71" s="37"/>
      <c r="C71" s="38"/>
      <c r="D71" s="38"/>
      <c r="E71" s="38"/>
      <c r="F71" s="79"/>
    </row>
    <row r="72" spans="1:11" x14ac:dyDescent="0.25">
      <c r="B72" s="39" t="str">
        <f>"NPV @ "&amp;C18*100&amp;"%"</f>
        <v>NPV @ 5%</v>
      </c>
      <c r="C72" s="172">
        <f>NPV(C18,E70:F70)+D62</f>
        <v>426.55328798185928</v>
      </c>
      <c r="D72" s="40"/>
      <c r="E72" s="40"/>
      <c r="F72" s="44"/>
    </row>
    <row r="74" spans="1:11" ht="31.5" customHeight="1" x14ac:dyDescent="0.25">
      <c r="A74" s="198" t="s">
        <v>175</v>
      </c>
      <c r="B74" s="198"/>
      <c r="C74" s="198"/>
      <c r="D74" s="198"/>
      <c r="E74" s="198"/>
      <c r="F74" s="198"/>
      <c r="G74" s="198"/>
      <c r="H74" s="198"/>
      <c r="I74" s="198"/>
      <c r="J74" s="198"/>
      <c r="K74" s="198"/>
    </row>
  </sheetData>
  <mergeCells count="10">
    <mergeCell ref="B60:F60"/>
    <mergeCell ref="A58:K58"/>
    <mergeCell ref="A22:K22"/>
    <mergeCell ref="A39:K39"/>
    <mergeCell ref="A74:K74"/>
    <mergeCell ref="A5:K5"/>
    <mergeCell ref="A7:D7"/>
    <mergeCell ref="A8:K8"/>
    <mergeCell ref="A42:K42"/>
    <mergeCell ref="B44:F4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79646"/>
  </sheetPr>
  <dimension ref="A1:S14"/>
  <sheetViews>
    <sheetView workbookViewId="0"/>
  </sheetViews>
  <sheetFormatPr defaultRowHeight="15.75" x14ac:dyDescent="0.25"/>
  <cols>
    <col min="1" max="1" width="4.7109375" style="74" customWidth="1"/>
    <col min="2" max="33" width="14.7109375" style="13" customWidth="1"/>
    <col min="34" max="64" width="10.7109375" style="13" customWidth="1"/>
    <col min="65" max="16384" width="9.140625" style="13"/>
  </cols>
  <sheetData>
    <row r="1" spans="1:19" ht="16.5" thickBot="1" x14ac:dyDescent="0.3"/>
    <row r="2" spans="1:19" ht="21.75" thickBot="1" x14ac:dyDescent="0.4">
      <c r="B2" s="63" t="s">
        <v>212</v>
      </c>
      <c r="C2" s="64"/>
      <c r="D2" s="72"/>
      <c r="E2" s="16"/>
      <c r="F2" s="16"/>
      <c r="G2" s="16"/>
      <c r="H2" s="16"/>
      <c r="I2" s="16"/>
      <c r="J2" s="16"/>
      <c r="K2" s="16"/>
      <c r="L2" s="16"/>
      <c r="M2" s="16"/>
      <c r="N2" s="16"/>
      <c r="O2" s="16"/>
      <c r="P2" s="16"/>
      <c r="Q2" s="16"/>
      <c r="R2" s="16"/>
      <c r="S2" s="16"/>
    </row>
    <row r="4" spans="1:19" ht="31.5" customHeight="1" x14ac:dyDescent="0.25">
      <c r="B4" s="198" t="s">
        <v>233</v>
      </c>
      <c r="C4" s="198"/>
      <c r="D4" s="198"/>
      <c r="E4" s="198"/>
      <c r="F4" s="198"/>
      <c r="G4" s="198"/>
      <c r="H4" s="198"/>
      <c r="I4" s="198"/>
      <c r="J4" s="198"/>
      <c r="K4" s="198"/>
      <c r="L4" s="73"/>
    </row>
    <row r="6" spans="1:19" x14ac:dyDescent="0.25">
      <c r="A6" s="74" t="s">
        <v>72</v>
      </c>
      <c r="B6" s="17" t="s">
        <v>78</v>
      </c>
    </row>
    <row r="8" spans="1:19" x14ac:dyDescent="0.25">
      <c r="A8" s="74" t="s">
        <v>73</v>
      </c>
      <c r="B8" s="17" t="s">
        <v>76</v>
      </c>
    </row>
    <row r="10" spans="1:19" x14ac:dyDescent="0.25">
      <c r="A10" s="74" t="s">
        <v>74</v>
      </c>
      <c r="B10" s="17" t="s">
        <v>77</v>
      </c>
    </row>
    <row r="12" spans="1:19" x14ac:dyDescent="0.25">
      <c r="A12" s="74" t="s">
        <v>75</v>
      </c>
      <c r="B12" s="17" t="s">
        <v>179</v>
      </c>
    </row>
    <row r="14" spans="1:19" x14ac:dyDescent="0.25">
      <c r="A14" s="74" t="s">
        <v>79</v>
      </c>
      <c r="B14" s="17" t="s">
        <v>136</v>
      </c>
    </row>
  </sheetData>
  <mergeCells count="1">
    <mergeCell ref="B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sheetPr>
  <dimension ref="B1:I110"/>
  <sheetViews>
    <sheetView zoomScaleNormal="100" workbookViewId="0"/>
  </sheetViews>
  <sheetFormatPr defaultRowHeight="12.75" x14ac:dyDescent="0.2"/>
  <cols>
    <col min="1" max="1" width="4.7109375" style="85" customWidth="1"/>
    <col min="2" max="2" width="30.42578125" style="85" bestFit="1" customWidth="1"/>
    <col min="3" max="3" width="19.42578125" style="85" bestFit="1" customWidth="1"/>
    <col min="4" max="7" width="18.85546875" style="85" bestFit="1" customWidth="1"/>
    <col min="8" max="8" width="3.140625" style="85" customWidth="1"/>
    <col min="9" max="16384" width="9.140625" style="85"/>
  </cols>
  <sheetData>
    <row r="1" spans="2:9" ht="18.75" thickBot="1" x14ac:dyDescent="0.3">
      <c r="B1" s="208"/>
      <c r="C1" s="208"/>
      <c r="D1" s="208"/>
      <c r="E1" s="208"/>
    </row>
    <row r="2" spans="2:9" ht="21.75" thickBot="1" x14ac:dyDescent="0.4">
      <c r="B2" s="65" t="s">
        <v>200</v>
      </c>
      <c r="C2" s="66"/>
    </row>
    <row r="3" spans="2:9" ht="15.75" customHeight="1" x14ac:dyDescent="0.2">
      <c r="B3" s="86"/>
    </row>
    <row r="4" spans="2:9" ht="15.75" customHeight="1" x14ac:dyDescent="0.25">
      <c r="B4" s="102" t="s">
        <v>137</v>
      </c>
      <c r="C4" s="175">
        <v>10000000</v>
      </c>
      <c r="D4" s="96"/>
      <c r="E4" s="87"/>
      <c r="F4" s="87"/>
      <c r="G4" s="87"/>
      <c r="H4" s="95"/>
      <c r="I4" s="95"/>
    </row>
    <row r="5" spans="2:9" ht="15.75" customHeight="1" x14ac:dyDescent="0.25">
      <c r="B5" s="103" t="s">
        <v>138</v>
      </c>
      <c r="C5" s="176">
        <v>5000000</v>
      </c>
      <c r="D5" s="96"/>
      <c r="E5" s="87"/>
      <c r="F5" s="87"/>
      <c r="G5" s="87"/>
      <c r="H5" s="95"/>
      <c r="I5" s="95"/>
    </row>
    <row r="6" spans="2:9" ht="15.75" customHeight="1" x14ac:dyDescent="0.25">
      <c r="B6" s="103" t="s">
        <v>139</v>
      </c>
      <c r="C6" s="176">
        <v>160000000</v>
      </c>
      <c r="D6" s="96"/>
      <c r="E6" s="87"/>
      <c r="F6" s="87"/>
      <c r="G6" s="87"/>
      <c r="H6" s="95"/>
      <c r="I6" s="95"/>
    </row>
    <row r="7" spans="2:9" ht="15.75" customHeight="1" x14ac:dyDescent="0.25">
      <c r="B7" s="104" t="s">
        <v>140</v>
      </c>
      <c r="C7" s="176">
        <v>65000000</v>
      </c>
      <c r="D7" s="96"/>
      <c r="E7" s="87"/>
      <c r="F7" s="87"/>
      <c r="G7" s="87"/>
      <c r="H7" s="95"/>
      <c r="I7" s="95"/>
    </row>
    <row r="8" spans="2:9" ht="15.75" customHeight="1" x14ac:dyDescent="0.25">
      <c r="B8" s="104" t="s">
        <v>141</v>
      </c>
      <c r="C8" s="177">
        <v>0.14299999999999999</v>
      </c>
      <c r="D8" s="96"/>
      <c r="E8" s="87"/>
      <c r="F8" s="87"/>
      <c r="G8" s="87"/>
      <c r="H8" s="95"/>
      <c r="I8" s="95"/>
    </row>
    <row r="9" spans="2:9" ht="15.75" customHeight="1" x14ac:dyDescent="0.25">
      <c r="B9" s="104" t="s">
        <v>142</v>
      </c>
      <c r="C9" s="177">
        <v>0.245</v>
      </c>
      <c r="D9" s="96"/>
      <c r="E9" s="87"/>
      <c r="F9" s="87"/>
      <c r="G9" s="87"/>
      <c r="H9" s="95"/>
      <c r="I9" s="95"/>
    </row>
    <row r="10" spans="2:9" ht="15.75" customHeight="1" x14ac:dyDescent="0.25">
      <c r="B10" s="104" t="s">
        <v>143</v>
      </c>
      <c r="C10" s="177">
        <v>0.17499999999999999</v>
      </c>
      <c r="D10" s="96"/>
      <c r="E10" s="87"/>
      <c r="F10" s="87"/>
      <c r="G10" s="87"/>
      <c r="H10" s="95"/>
      <c r="I10" s="95"/>
    </row>
    <row r="11" spans="2:9" ht="15.75" customHeight="1" x14ac:dyDescent="0.25">
      <c r="B11" s="104" t="s">
        <v>144</v>
      </c>
      <c r="C11" s="177">
        <v>0.125</v>
      </c>
      <c r="D11" s="96"/>
      <c r="E11" s="87"/>
      <c r="F11" s="87"/>
      <c r="G11" s="87"/>
      <c r="H11" s="95"/>
      <c r="I11" s="95"/>
    </row>
    <row r="12" spans="2:9" ht="15.75" customHeight="1" x14ac:dyDescent="0.25">
      <c r="B12" s="104"/>
      <c r="C12" s="178"/>
      <c r="D12" s="96"/>
      <c r="E12" s="87"/>
      <c r="F12" s="87"/>
      <c r="G12" s="87"/>
      <c r="H12" s="95"/>
      <c r="I12" s="95"/>
    </row>
    <row r="13" spans="2:9" ht="15.75" customHeight="1" x14ac:dyDescent="0.25">
      <c r="B13" s="105" t="s">
        <v>145</v>
      </c>
      <c r="C13" s="179"/>
      <c r="D13" s="90"/>
      <c r="E13" s="90"/>
      <c r="F13" s="90"/>
      <c r="G13" s="87"/>
      <c r="H13" s="95"/>
      <c r="I13" s="95"/>
    </row>
    <row r="14" spans="2:9" ht="15.75" customHeight="1" x14ac:dyDescent="0.25">
      <c r="B14" s="104" t="s">
        <v>21</v>
      </c>
      <c r="C14" s="180">
        <v>41</v>
      </c>
      <c r="D14" s="90"/>
      <c r="E14" s="90"/>
      <c r="F14" s="90"/>
      <c r="G14" s="87"/>
      <c r="H14" s="95"/>
      <c r="I14" s="95"/>
    </row>
    <row r="15" spans="2:9" ht="15.75" customHeight="1" x14ac:dyDescent="0.25">
      <c r="B15" s="104" t="s">
        <v>22</v>
      </c>
      <c r="C15" s="180">
        <v>29</v>
      </c>
      <c r="D15" s="90"/>
      <c r="E15" s="90"/>
      <c r="F15" s="90"/>
      <c r="G15" s="87"/>
      <c r="H15" s="95"/>
      <c r="I15" s="95"/>
    </row>
    <row r="16" spans="2:9" ht="15.75" customHeight="1" x14ac:dyDescent="0.25">
      <c r="B16" s="104" t="s">
        <v>146</v>
      </c>
      <c r="C16" s="179">
        <v>6200000</v>
      </c>
      <c r="D16" s="90"/>
      <c r="E16" s="90"/>
      <c r="F16" s="90"/>
      <c r="G16" s="87"/>
      <c r="H16" s="95"/>
      <c r="I16" s="95"/>
    </row>
    <row r="17" spans="2:9" ht="15.75" customHeight="1" x14ac:dyDescent="0.25">
      <c r="B17" s="104" t="s">
        <v>147</v>
      </c>
      <c r="C17" s="177">
        <v>2.5000000000000001E-2</v>
      </c>
      <c r="D17" s="90"/>
      <c r="E17" s="90"/>
      <c r="F17" s="90"/>
      <c r="G17" s="87"/>
      <c r="H17" s="95"/>
      <c r="I17" s="95"/>
    </row>
    <row r="18" spans="2:9" ht="15.75" customHeight="1" x14ac:dyDescent="0.25">
      <c r="B18" s="104" t="s">
        <v>148</v>
      </c>
      <c r="C18" s="177">
        <v>0.11</v>
      </c>
      <c r="D18" s="90"/>
      <c r="E18" s="90"/>
      <c r="F18" s="90"/>
      <c r="G18" s="87"/>
      <c r="H18" s="95"/>
      <c r="I18" s="95"/>
    </row>
    <row r="19" spans="2:9" ht="15.75" customHeight="1" x14ac:dyDescent="0.25">
      <c r="B19" s="104"/>
      <c r="C19" s="106"/>
      <c r="D19" s="90"/>
      <c r="E19" s="90"/>
      <c r="F19" s="90"/>
      <c r="G19" s="87"/>
      <c r="H19" s="95"/>
      <c r="I19" s="95"/>
    </row>
    <row r="20" spans="2:9" ht="15.75" customHeight="1" x14ac:dyDescent="0.25">
      <c r="B20" s="105" t="s">
        <v>149</v>
      </c>
      <c r="C20" s="106"/>
      <c r="D20" s="90"/>
      <c r="E20" s="90"/>
      <c r="F20" s="90"/>
      <c r="G20" s="87"/>
      <c r="H20" s="95"/>
      <c r="I20" s="95"/>
    </row>
    <row r="21" spans="2:9" ht="15.75" customHeight="1" x14ac:dyDescent="0.25">
      <c r="B21" s="104" t="s">
        <v>21</v>
      </c>
      <c r="C21" s="180">
        <v>62</v>
      </c>
      <c r="D21" s="90"/>
      <c r="E21" s="90"/>
      <c r="F21" s="90"/>
      <c r="G21" s="87"/>
      <c r="H21" s="95"/>
      <c r="I21" s="95"/>
    </row>
    <row r="22" spans="2:9" ht="15.75" customHeight="1" x14ac:dyDescent="0.25">
      <c r="B22" s="104" t="s">
        <v>22</v>
      </c>
      <c r="C22" s="183">
        <f>C15</f>
        <v>29</v>
      </c>
      <c r="D22" s="90"/>
      <c r="E22" s="90"/>
      <c r="F22" s="90"/>
      <c r="G22" s="87"/>
      <c r="H22" s="95"/>
      <c r="I22" s="95"/>
    </row>
    <row r="23" spans="2:9" ht="15.75" customHeight="1" x14ac:dyDescent="0.25">
      <c r="B23" s="104" t="s">
        <v>150</v>
      </c>
      <c r="C23" s="179">
        <v>32000000</v>
      </c>
      <c r="D23" s="90"/>
      <c r="E23" s="90"/>
      <c r="F23" s="90"/>
      <c r="G23" s="87"/>
      <c r="H23" s="95"/>
      <c r="I23" s="95"/>
    </row>
    <row r="24" spans="2:9" ht="15.75" customHeight="1" x14ac:dyDescent="0.25">
      <c r="B24" s="104" t="s">
        <v>147</v>
      </c>
      <c r="C24" s="177">
        <v>0.02</v>
      </c>
      <c r="D24" s="90"/>
      <c r="E24" s="90"/>
      <c r="F24" s="90"/>
      <c r="G24" s="87"/>
      <c r="H24" s="95"/>
      <c r="I24" s="95"/>
    </row>
    <row r="25" spans="2:9" ht="15.75" customHeight="1" x14ac:dyDescent="0.25">
      <c r="B25" s="104" t="s">
        <v>148</v>
      </c>
      <c r="C25" s="177">
        <v>0.08</v>
      </c>
      <c r="D25" s="90"/>
      <c r="E25" s="90"/>
      <c r="F25" s="90"/>
      <c r="G25" s="87"/>
      <c r="H25" s="95"/>
      <c r="I25" s="95"/>
    </row>
    <row r="26" spans="2:9" ht="15.75" customHeight="1" x14ac:dyDescent="0.25">
      <c r="B26" s="104"/>
      <c r="C26" s="106"/>
      <c r="D26" s="90"/>
      <c r="E26" s="90"/>
      <c r="F26" s="90"/>
      <c r="G26" s="87"/>
      <c r="H26" s="95"/>
      <c r="I26" s="95"/>
    </row>
    <row r="27" spans="2:9" ht="15.75" customHeight="1" x14ac:dyDescent="0.25">
      <c r="B27" s="104" t="s">
        <v>151</v>
      </c>
      <c r="C27" s="178">
        <v>0.01</v>
      </c>
      <c r="D27" s="90"/>
      <c r="E27" s="90"/>
      <c r="F27" s="90"/>
      <c r="G27" s="87"/>
      <c r="H27" s="95"/>
      <c r="I27" s="95"/>
    </row>
    <row r="28" spans="2:9" ht="15.75" customHeight="1" x14ac:dyDescent="0.25">
      <c r="B28" s="104" t="s">
        <v>152</v>
      </c>
      <c r="C28" s="178">
        <v>0.01</v>
      </c>
      <c r="D28" s="90"/>
      <c r="E28" s="90"/>
      <c r="F28" s="90"/>
      <c r="G28" s="87"/>
      <c r="H28" s="95"/>
      <c r="I28" s="95"/>
    </row>
    <row r="29" spans="2:9" ht="15.75" customHeight="1" x14ac:dyDescent="0.25">
      <c r="B29" s="104" t="s">
        <v>153</v>
      </c>
      <c r="C29" s="180">
        <v>43000000</v>
      </c>
      <c r="D29" s="90"/>
      <c r="E29" s="90"/>
      <c r="F29" s="90"/>
      <c r="G29" s="87"/>
      <c r="H29" s="95"/>
      <c r="I29" s="95"/>
    </row>
    <row r="30" spans="2:9" ht="15.75" customHeight="1" x14ac:dyDescent="0.25">
      <c r="B30" s="104" t="s">
        <v>154</v>
      </c>
      <c r="C30" s="181">
        <v>0.23</v>
      </c>
      <c r="D30" s="90"/>
      <c r="E30" s="90"/>
      <c r="F30" s="90"/>
      <c r="G30" s="87"/>
      <c r="H30" s="95"/>
      <c r="I30" s="95"/>
    </row>
    <row r="31" spans="2:9" ht="15.75" customHeight="1" x14ac:dyDescent="0.25">
      <c r="B31" s="104" t="s">
        <v>99</v>
      </c>
      <c r="C31" s="177">
        <v>3.2500000000000001E-2</v>
      </c>
      <c r="D31" s="90"/>
      <c r="E31" s="90"/>
      <c r="F31" s="90"/>
      <c r="G31" s="87"/>
      <c r="H31" s="95"/>
      <c r="I31" s="95"/>
    </row>
    <row r="32" spans="2:9" ht="15.75" customHeight="1" x14ac:dyDescent="0.25">
      <c r="B32" s="104" t="s">
        <v>25</v>
      </c>
      <c r="C32" s="177">
        <v>0.13400000000000001</v>
      </c>
      <c r="D32" s="90"/>
      <c r="E32" s="90"/>
      <c r="F32" s="90"/>
      <c r="G32" s="87"/>
      <c r="H32" s="95"/>
      <c r="I32" s="95"/>
    </row>
    <row r="33" spans="2:9" ht="15.75" customHeight="1" x14ac:dyDescent="0.25">
      <c r="B33" s="104" t="s">
        <v>29</v>
      </c>
      <c r="C33" s="176">
        <v>9000000</v>
      </c>
      <c r="D33" s="90"/>
      <c r="E33" s="90"/>
      <c r="F33" s="90"/>
      <c r="G33" s="87"/>
      <c r="H33" s="95"/>
      <c r="I33" s="95"/>
    </row>
    <row r="34" spans="2:9" ht="15.75" customHeight="1" x14ac:dyDescent="0.25">
      <c r="B34" s="107" t="s">
        <v>155</v>
      </c>
      <c r="C34" s="182">
        <v>0.15</v>
      </c>
      <c r="D34" s="97"/>
      <c r="E34" s="98"/>
      <c r="F34" s="98"/>
      <c r="G34" s="87"/>
      <c r="H34" s="95"/>
      <c r="I34" s="95"/>
    </row>
    <row r="35" spans="2:9" ht="15.75" customHeight="1" x14ac:dyDescent="0.25">
      <c r="B35" s="88"/>
      <c r="C35" s="101"/>
      <c r="D35" s="96"/>
      <c r="E35" s="87"/>
      <c r="F35" s="87"/>
      <c r="G35" s="87"/>
      <c r="H35" s="95"/>
      <c r="I35" s="95"/>
    </row>
    <row r="36" spans="2:9" ht="15.75" customHeight="1" x14ac:dyDescent="0.25">
      <c r="B36" s="88"/>
      <c r="C36" s="88"/>
      <c r="D36" s="88"/>
      <c r="E36" s="88"/>
      <c r="F36" s="88"/>
      <c r="G36" s="88"/>
      <c r="H36" s="88"/>
      <c r="I36" s="88"/>
    </row>
    <row r="37" spans="2:9" ht="15.75" customHeight="1" x14ac:dyDescent="0.25">
      <c r="B37" s="88" t="s">
        <v>156</v>
      </c>
      <c r="C37" s="184"/>
      <c r="D37" s="91"/>
      <c r="E37" s="91"/>
      <c r="F37" s="91"/>
      <c r="G37" s="91"/>
      <c r="H37" s="88"/>
      <c r="I37" s="88"/>
    </row>
    <row r="38" spans="2:9" ht="15.75" customHeight="1" x14ac:dyDescent="0.25">
      <c r="B38" s="88" t="s">
        <v>157</v>
      </c>
      <c r="C38" s="184"/>
      <c r="D38" s="91"/>
      <c r="E38" s="91"/>
      <c r="F38" s="91"/>
      <c r="G38" s="91"/>
      <c r="H38" s="88"/>
      <c r="I38" s="88"/>
    </row>
    <row r="39" spans="2:9" ht="15.75" customHeight="1" x14ac:dyDescent="0.25">
      <c r="B39" s="88"/>
      <c r="C39" s="88"/>
      <c r="D39" s="88"/>
      <c r="E39" s="88"/>
      <c r="F39" s="88"/>
      <c r="G39" s="88"/>
      <c r="H39" s="88"/>
      <c r="I39" s="88"/>
    </row>
    <row r="40" spans="2:9" ht="15.75" customHeight="1" x14ac:dyDescent="0.25">
      <c r="B40" s="89"/>
      <c r="C40" s="92" t="s">
        <v>117</v>
      </c>
      <c r="D40" s="92" t="s">
        <v>80</v>
      </c>
      <c r="E40" s="92" t="s">
        <v>81</v>
      </c>
      <c r="F40" s="92" t="s">
        <v>82</v>
      </c>
      <c r="G40" s="92" t="s">
        <v>83</v>
      </c>
      <c r="H40" s="88"/>
      <c r="I40" s="88"/>
    </row>
    <row r="41" spans="2:9" ht="15.75" customHeight="1" x14ac:dyDescent="0.25">
      <c r="B41" s="93" t="s">
        <v>158</v>
      </c>
      <c r="C41" s="185"/>
      <c r="D41" s="186"/>
      <c r="E41" s="186"/>
      <c r="F41" s="186"/>
      <c r="G41" s="186"/>
      <c r="H41" s="88"/>
      <c r="I41" s="88"/>
    </row>
    <row r="42" spans="2:9" ht="15.75" customHeight="1" x14ac:dyDescent="0.25">
      <c r="B42" s="94" t="s">
        <v>159</v>
      </c>
      <c r="C42" s="185"/>
      <c r="D42" s="187"/>
      <c r="E42" s="187"/>
      <c r="F42" s="187"/>
      <c r="G42" s="187"/>
      <c r="H42" s="88"/>
      <c r="I42" s="88"/>
    </row>
    <row r="43" spans="2:9" ht="15.75" customHeight="1" x14ac:dyDescent="0.25">
      <c r="B43" s="94" t="s">
        <v>160</v>
      </c>
      <c r="C43" s="185"/>
      <c r="D43" s="187"/>
      <c r="E43" s="187"/>
      <c r="F43" s="187"/>
      <c r="G43" s="187"/>
      <c r="H43" s="88"/>
      <c r="I43" s="88"/>
    </row>
    <row r="44" spans="2:9" ht="15.75" customHeight="1" x14ac:dyDescent="0.25">
      <c r="B44" s="94" t="s">
        <v>161</v>
      </c>
      <c r="C44" s="185"/>
      <c r="D44" s="187"/>
      <c r="E44" s="187"/>
      <c r="F44" s="187"/>
      <c r="G44" s="187"/>
      <c r="H44" s="88"/>
      <c r="I44" s="88"/>
    </row>
    <row r="45" spans="2:9" ht="15.75" customHeight="1" x14ac:dyDescent="0.25">
      <c r="B45" s="94" t="s">
        <v>21</v>
      </c>
      <c r="C45" s="185"/>
      <c r="D45" s="188"/>
      <c r="E45" s="188"/>
      <c r="F45" s="188"/>
      <c r="G45" s="188"/>
      <c r="H45" s="88"/>
      <c r="I45" s="88"/>
    </row>
    <row r="46" spans="2:9" ht="15.75" customHeight="1" x14ac:dyDescent="0.25">
      <c r="B46" s="94"/>
      <c r="C46" s="185"/>
      <c r="D46" s="186"/>
      <c r="E46" s="186"/>
      <c r="F46" s="186"/>
      <c r="G46" s="186"/>
      <c r="H46" s="88"/>
      <c r="I46" s="88"/>
    </row>
    <row r="47" spans="2:9" ht="15.75" customHeight="1" x14ac:dyDescent="0.25">
      <c r="B47" s="93" t="s">
        <v>149</v>
      </c>
      <c r="C47" s="185"/>
      <c r="D47" s="189"/>
      <c r="E47" s="189"/>
      <c r="F47" s="189"/>
      <c r="G47" s="189"/>
      <c r="H47" s="88"/>
      <c r="I47" s="88"/>
    </row>
    <row r="48" spans="2:9" ht="15.75" customHeight="1" x14ac:dyDescent="0.25">
      <c r="B48" s="94" t="s">
        <v>162</v>
      </c>
      <c r="C48" s="185"/>
      <c r="D48" s="190"/>
      <c r="E48" s="190"/>
      <c r="F48" s="190"/>
      <c r="G48" s="190"/>
      <c r="H48" s="88"/>
      <c r="I48" s="88"/>
    </row>
    <row r="49" spans="2:9" ht="15.75" customHeight="1" x14ac:dyDescent="0.25">
      <c r="B49" s="94" t="s">
        <v>161</v>
      </c>
      <c r="C49" s="185"/>
      <c r="D49" s="190"/>
      <c r="E49" s="190"/>
      <c r="F49" s="190"/>
      <c r="G49" s="190"/>
      <c r="H49" s="88"/>
      <c r="I49" s="88"/>
    </row>
    <row r="50" spans="2:9" ht="15.75" customHeight="1" x14ac:dyDescent="0.25">
      <c r="B50" s="94" t="s">
        <v>21</v>
      </c>
      <c r="C50" s="185"/>
      <c r="D50" s="188"/>
      <c r="E50" s="188"/>
      <c r="F50" s="188"/>
      <c r="G50" s="188"/>
      <c r="H50" s="88"/>
      <c r="I50" s="88"/>
    </row>
    <row r="51" spans="2:9" ht="15.75" customHeight="1" x14ac:dyDescent="0.25">
      <c r="B51" s="94"/>
      <c r="C51" s="185"/>
      <c r="D51" s="190"/>
      <c r="E51" s="190"/>
      <c r="F51" s="190"/>
      <c r="G51" s="190"/>
      <c r="H51" s="88"/>
      <c r="I51" s="88"/>
    </row>
    <row r="52" spans="2:9" ht="15.75" customHeight="1" x14ac:dyDescent="0.25">
      <c r="B52" s="93" t="s">
        <v>163</v>
      </c>
      <c r="C52" s="185"/>
      <c r="D52" s="190"/>
      <c r="E52" s="190"/>
      <c r="F52" s="190"/>
      <c r="G52" s="190"/>
      <c r="H52" s="88"/>
      <c r="I52" s="88"/>
    </row>
    <row r="53" spans="2:9" ht="15.75" customHeight="1" x14ac:dyDescent="0.25">
      <c r="B53" s="94" t="s">
        <v>164</v>
      </c>
      <c r="C53" s="185"/>
      <c r="D53" s="191"/>
      <c r="E53" s="191"/>
      <c r="F53" s="191"/>
      <c r="G53" s="191"/>
      <c r="H53" s="88"/>
      <c r="I53" s="88"/>
    </row>
    <row r="54" spans="2:9" ht="15.75" customHeight="1" x14ac:dyDescent="0.25">
      <c r="B54" s="94" t="s">
        <v>165</v>
      </c>
      <c r="C54" s="185"/>
      <c r="D54" s="192"/>
      <c r="E54" s="192"/>
      <c r="F54" s="192"/>
      <c r="G54" s="192"/>
      <c r="H54" s="88"/>
      <c r="I54" s="88"/>
    </row>
    <row r="55" spans="2:9" ht="15.75" customHeight="1" x14ac:dyDescent="0.25">
      <c r="B55" s="94" t="s">
        <v>166</v>
      </c>
      <c r="C55" s="185"/>
      <c r="D55" s="191"/>
      <c r="E55" s="191"/>
      <c r="F55" s="191"/>
      <c r="G55" s="191"/>
      <c r="H55" s="88"/>
      <c r="I55" s="88"/>
    </row>
    <row r="56" spans="2:9" ht="15.75" customHeight="1" x14ac:dyDescent="0.25">
      <c r="B56" s="94"/>
      <c r="C56" s="185"/>
      <c r="D56" s="190"/>
      <c r="E56" s="190"/>
      <c r="F56" s="190"/>
      <c r="G56" s="190"/>
      <c r="H56" s="88"/>
      <c r="I56" s="88"/>
    </row>
    <row r="57" spans="2:9" ht="15.75" customHeight="1" x14ac:dyDescent="0.25">
      <c r="B57" s="93" t="s">
        <v>167</v>
      </c>
      <c r="C57" s="185"/>
      <c r="D57" s="190"/>
      <c r="E57" s="190"/>
      <c r="F57" s="190"/>
      <c r="G57" s="190"/>
      <c r="H57" s="88"/>
      <c r="I57" s="88"/>
    </row>
    <row r="58" spans="2:9" ht="15.75" customHeight="1" x14ac:dyDescent="0.25">
      <c r="B58" s="94" t="s">
        <v>164</v>
      </c>
      <c r="C58" s="185"/>
      <c r="D58" s="191"/>
      <c r="E58" s="191"/>
      <c r="F58" s="191"/>
      <c r="G58" s="191"/>
      <c r="H58" s="88"/>
      <c r="I58" s="88"/>
    </row>
    <row r="59" spans="2:9" ht="15.75" customHeight="1" x14ac:dyDescent="0.25">
      <c r="B59" s="94" t="s">
        <v>165</v>
      </c>
      <c r="C59" s="185"/>
      <c r="D59" s="192"/>
      <c r="E59" s="192"/>
      <c r="F59" s="192"/>
      <c r="G59" s="192"/>
      <c r="H59" s="88"/>
      <c r="I59" s="88"/>
    </row>
    <row r="60" spans="2:9" ht="15.75" customHeight="1" x14ac:dyDescent="0.25">
      <c r="B60" s="94" t="s">
        <v>166</v>
      </c>
      <c r="C60" s="185"/>
      <c r="D60" s="191"/>
      <c r="E60" s="191"/>
      <c r="F60" s="191"/>
      <c r="G60" s="191"/>
      <c r="H60" s="88"/>
      <c r="I60" s="88"/>
    </row>
    <row r="61" spans="2:9" ht="15.75" customHeight="1" x14ac:dyDescent="0.25">
      <c r="B61" s="94"/>
      <c r="C61" s="185"/>
      <c r="D61" s="190"/>
      <c r="E61" s="190"/>
      <c r="F61" s="190"/>
      <c r="G61" s="190"/>
      <c r="H61" s="88"/>
      <c r="I61" s="88"/>
    </row>
    <row r="62" spans="2:9" ht="15.75" customHeight="1" x14ac:dyDescent="0.25">
      <c r="B62" s="94" t="s">
        <v>168</v>
      </c>
      <c r="C62" s="185"/>
      <c r="D62" s="191"/>
      <c r="E62" s="191"/>
      <c r="F62" s="191"/>
      <c r="G62" s="191"/>
      <c r="H62" s="88"/>
      <c r="I62" s="88"/>
    </row>
    <row r="63" spans="2:9" ht="15.75" customHeight="1" x14ac:dyDescent="0.25">
      <c r="B63" s="94" t="s">
        <v>8</v>
      </c>
      <c r="C63" s="185"/>
      <c r="D63" s="190"/>
      <c r="E63" s="190"/>
      <c r="F63" s="190"/>
      <c r="G63" s="190"/>
      <c r="H63" s="88"/>
      <c r="I63" s="88"/>
    </row>
    <row r="64" spans="2:9" ht="15.75" customHeight="1" x14ac:dyDescent="0.25">
      <c r="B64" s="94" t="s">
        <v>153</v>
      </c>
      <c r="C64" s="185"/>
      <c r="D64" s="190"/>
      <c r="E64" s="190"/>
      <c r="F64" s="190"/>
      <c r="G64" s="190"/>
      <c r="H64" s="88"/>
      <c r="I64" s="88"/>
    </row>
    <row r="65" spans="2:9" ht="15.75" customHeight="1" x14ac:dyDescent="0.25">
      <c r="B65" s="94" t="s">
        <v>10</v>
      </c>
      <c r="C65" s="185"/>
      <c r="D65" s="192"/>
      <c r="E65" s="192"/>
      <c r="F65" s="192"/>
      <c r="G65" s="192"/>
      <c r="H65" s="88"/>
      <c r="I65" s="88"/>
    </row>
    <row r="66" spans="2:9" ht="15.75" customHeight="1" x14ac:dyDescent="0.25">
      <c r="B66" s="94" t="s">
        <v>85</v>
      </c>
      <c r="C66" s="185"/>
      <c r="D66" s="191"/>
      <c r="E66" s="191"/>
      <c r="F66" s="191"/>
      <c r="G66" s="191"/>
      <c r="H66" s="88"/>
      <c r="I66" s="88"/>
    </row>
    <row r="67" spans="2:9" ht="15.75" customHeight="1" x14ac:dyDescent="0.25">
      <c r="B67" s="94" t="s">
        <v>49</v>
      </c>
      <c r="C67" s="185"/>
      <c r="D67" s="192"/>
      <c r="E67" s="192"/>
      <c r="F67" s="192"/>
      <c r="G67" s="192"/>
      <c r="H67" s="88"/>
      <c r="I67" s="88"/>
    </row>
    <row r="68" spans="2:9" ht="15.75" customHeight="1" x14ac:dyDescent="0.25">
      <c r="B68" s="94" t="s">
        <v>12</v>
      </c>
      <c r="C68" s="185"/>
      <c r="D68" s="191"/>
      <c r="E68" s="191"/>
      <c r="F68" s="191"/>
      <c r="G68" s="191"/>
      <c r="H68" s="88"/>
      <c r="I68" s="88"/>
    </row>
    <row r="69" spans="2:9" ht="15.75" customHeight="1" x14ac:dyDescent="0.25">
      <c r="B69" s="94" t="s">
        <v>27</v>
      </c>
      <c r="C69" s="185"/>
      <c r="D69" s="191"/>
      <c r="E69" s="191"/>
      <c r="F69" s="191"/>
      <c r="G69" s="191"/>
      <c r="H69" s="88"/>
      <c r="I69" s="88"/>
    </row>
    <row r="70" spans="2:9" ht="15.75" customHeight="1" x14ac:dyDescent="0.25">
      <c r="B70" s="94"/>
      <c r="C70" s="185"/>
      <c r="D70" s="191"/>
      <c r="E70" s="191"/>
      <c r="F70" s="191"/>
      <c r="G70" s="191"/>
      <c r="H70" s="88"/>
      <c r="I70" s="88"/>
    </row>
    <row r="71" spans="2:9" ht="15.75" customHeight="1" x14ac:dyDescent="0.25">
      <c r="B71" s="93" t="s">
        <v>169</v>
      </c>
      <c r="C71" s="185"/>
      <c r="D71" s="191"/>
      <c r="E71" s="191"/>
      <c r="F71" s="191"/>
      <c r="G71" s="191"/>
      <c r="H71" s="88"/>
      <c r="I71" s="88"/>
    </row>
    <row r="72" spans="2:9" ht="15.75" customHeight="1" x14ac:dyDescent="0.25">
      <c r="B72" s="94" t="s">
        <v>170</v>
      </c>
      <c r="C72" s="185"/>
      <c r="D72" s="191"/>
      <c r="E72" s="191"/>
      <c r="F72" s="191"/>
      <c r="G72" s="191"/>
      <c r="H72" s="88"/>
      <c r="I72" s="88"/>
    </row>
    <row r="73" spans="2:9" ht="15.75" customHeight="1" x14ac:dyDescent="0.25">
      <c r="B73" s="94" t="s">
        <v>171</v>
      </c>
      <c r="C73" s="192"/>
      <c r="D73" s="192"/>
      <c r="E73" s="192"/>
      <c r="F73" s="192"/>
      <c r="G73" s="192"/>
      <c r="H73" s="88"/>
      <c r="I73" s="88"/>
    </row>
    <row r="74" spans="2:9" ht="15.75" customHeight="1" x14ac:dyDescent="0.25">
      <c r="B74" s="94" t="s">
        <v>30</v>
      </c>
      <c r="C74" s="191"/>
      <c r="D74" s="191"/>
      <c r="E74" s="191"/>
      <c r="F74" s="191"/>
      <c r="G74" s="191"/>
      <c r="H74" s="88"/>
      <c r="I74" s="88"/>
    </row>
    <row r="75" spans="2:9" ht="15.75" customHeight="1" x14ac:dyDescent="0.25">
      <c r="B75" s="94"/>
      <c r="C75" s="185"/>
      <c r="D75" s="191"/>
      <c r="E75" s="191"/>
      <c r="F75" s="191"/>
      <c r="G75" s="191"/>
      <c r="H75" s="88"/>
      <c r="I75" s="88"/>
    </row>
    <row r="76" spans="2:9" ht="15.75" customHeight="1" x14ac:dyDescent="0.25">
      <c r="B76" s="94" t="s">
        <v>172</v>
      </c>
      <c r="C76" s="191"/>
      <c r="D76" s="191"/>
      <c r="E76" s="191"/>
      <c r="F76" s="191"/>
      <c r="G76" s="191"/>
      <c r="H76" s="88"/>
      <c r="I76" s="88"/>
    </row>
    <row r="77" spans="2:9" ht="15.75" customHeight="1" x14ac:dyDescent="0.25">
      <c r="B77" s="94"/>
      <c r="C77" s="185"/>
      <c r="D77" s="191"/>
      <c r="E77" s="191"/>
      <c r="F77" s="191"/>
      <c r="G77" s="191"/>
      <c r="H77" s="88"/>
      <c r="I77" s="88"/>
    </row>
    <row r="78" spans="2:9" ht="15.75" customHeight="1" x14ac:dyDescent="0.25">
      <c r="B78" s="94" t="s">
        <v>20</v>
      </c>
      <c r="C78" s="185"/>
      <c r="D78" s="191"/>
      <c r="E78" s="191"/>
      <c r="F78" s="191"/>
      <c r="G78" s="191"/>
      <c r="H78" s="88"/>
      <c r="I78" s="88"/>
    </row>
    <row r="79" spans="2:9" ht="15.75" customHeight="1" x14ac:dyDescent="0.25">
      <c r="B79" s="94" t="s">
        <v>173</v>
      </c>
      <c r="C79" s="191"/>
      <c r="D79" s="191"/>
      <c r="E79" s="191"/>
      <c r="F79" s="191"/>
      <c r="G79" s="191"/>
      <c r="H79" s="88"/>
      <c r="I79" s="88"/>
    </row>
    <row r="80" spans="2:9" ht="15.75" customHeight="1" x14ac:dyDescent="0.25">
      <c r="B80" s="94" t="s">
        <v>86</v>
      </c>
      <c r="C80" s="192"/>
      <c r="D80" s="191"/>
      <c r="E80" s="191"/>
      <c r="F80" s="191"/>
      <c r="G80" s="191"/>
      <c r="H80" s="88"/>
      <c r="I80" s="88"/>
    </row>
    <row r="81" spans="2:9" ht="15.75" customHeight="1" x14ac:dyDescent="0.25">
      <c r="B81" s="94" t="s">
        <v>166</v>
      </c>
      <c r="C81" s="191"/>
      <c r="D81" s="191"/>
      <c r="E81" s="191"/>
      <c r="F81" s="191"/>
      <c r="G81" s="191"/>
      <c r="H81" s="88"/>
      <c r="I81" s="88"/>
    </row>
    <row r="82" spans="2:9" ht="15.75" customHeight="1" x14ac:dyDescent="0.25">
      <c r="B82" s="94"/>
      <c r="C82" s="108"/>
      <c r="D82" s="109"/>
      <c r="E82" s="109"/>
      <c r="F82" s="109"/>
      <c r="G82" s="109"/>
      <c r="H82" s="88"/>
      <c r="I82" s="88"/>
    </row>
    <row r="83" spans="2:9" ht="15.75" customHeight="1" x14ac:dyDescent="0.25">
      <c r="B83" s="94"/>
      <c r="C83" s="110" t="s">
        <v>117</v>
      </c>
      <c r="D83" s="110" t="s">
        <v>80</v>
      </c>
      <c r="E83" s="110" t="s">
        <v>81</v>
      </c>
      <c r="F83" s="110" t="s">
        <v>82</v>
      </c>
      <c r="G83" s="110" t="s">
        <v>83</v>
      </c>
      <c r="H83" s="88"/>
      <c r="I83" s="88"/>
    </row>
    <row r="84" spans="2:9" ht="15.75" customHeight="1" x14ac:dyDescent="0.25">
      <c r="B84" s="94" t="s">
        <v>15</v>
      </c>
      <c r="C84" s="193"/>
      <c r="D84" s="191"/>
      <c r="E84" s="191"/>
      <c r="F84" s="191"/>
      <c r="G84" s="191"/>
      <c r="H84" s="88"/>
      <c r="I84" s="88"/>
    </row>
    <row r="85" spans="2:9" ht="15.75" customHeight="1" x14ac:dyDescent="0.25">
      <c r="B85" s="94" t="s">
        <v>16</v>
      </c>
      <c r="C85" s="191"/>
      <c r="D85" s="191"/>
      <c r="E85" s="191"/>
      <c r="F85" s="191"/>
      <c r="G85" s="190"/>
      <c r="H85" s="88"/>
      <c r="I85" s="88"/>
    </row>
    <row r="86" spans="2:9" ht="15.75" customHeight="1" x14ac:dyDescent="0.25">
      <c r="B86" s="94" t="s">
        <v>19</v>
      </c>
      <c r="C86" s="192"/>
      <c r="D86" s="192"/>
      <c r="E86" s="192"/>
      <c r="F86" s="192"/>
      <c r="G86" s="192"/>
      <c r="H86" s="88"/>
      <c r="I86" s="88"/>
    </row>
    <row r="87" spans="2:9" ht="15.75" customHeight="1" x14ac:dyDescent="0.25">
      <c r="B87" s="94" t="s">
        <v>174</v>
      </c>
      <c r="C87" s="191"/>
      <c r="D87" s="191"/>
      <c r="E87" s="191"/>
      <c r="F87" s="191"/>
      <c r="G87" s="191"/>
      <c r="H87" s="88"/>
      <c r="I87" s="88"/>
    </row>
    <row r="88" spans="2:9" ht="15.75" customHeight="1" x14ac:dyDescent="0.25">
      <c r="B88" s="94"/>
      <c r="C88" s="185"/>
      <c r="D88" s="191"/>
      <c r="E88" s="191"/>
      <c r="F88" s="191"/>
      <c r="G88" s="191"/>
      <c r="H88" s="88"/>
      <c r="I88" s="88"/>
    </row>
    <row r="89" spans="2:9" ht="15.75" customHeight="1" x14ac:dyDescent="0.25">
      <c r="B89" s="94" t="s">
        <v>17</v>
      </c>
      <c r="C89" s="188"/>
      <c r="D89" s="191"/>
      <c r="E89" s="191"/>
      <c r="F89" s="191"/>
      <c r="G89" s="186"/>
      <c r="H89" s="88"/>
      <c r="I89" s="88"/>
    </row>
    <row r="90" spans="2:9" ht="15.75" customHeight="1" x14ac:dyDescent="0.25">
      <c r="B90" s="94" t="s">
        <v>18</v>
      </c>
      <c r="C90" s="184"/>
      <c r="D90" s="191"/>
      <c r="E90" s="191"/>
      <c r="F90" s="191"/>
      <c r="G90" s="191"/>
      <c r="H90" s="88"/>
      <c r="I90" s="88"/>
    </row>
    <row r="91" spans="2:9" ht="15.75" customHeight="1" x14ac:dyDescent="0.25">
      <c r="B91" s="94" t="s">
        <v>87</v>
      </c>
      <c r="C91" s="194"/>
      <c r="D91" s="191"/>
      <c r="E91" s="191"/>
      <c r="F91" s="191"/>
      <c r="G91" s="191"/>
      <c r="H91" s="88"/>
      <c r="I91" s="88"/>
    </row>
    <row r="92" spans="2:9" ht="15.75" customHeight="1" x14ac:dyDescent="0.25">
      <c r="B92" s="88"/>
      <c r="C92" s="88"/>
      <c r="D92" s="88"/>
      <c r="E92" s="88"/>
      <c r="F92" s="88"/>
      <c r="G92" s="88"/>
      <c r="H92" s="88"/>
      <c r="I92" s="88"/>
    </row>
    <row r="93" spans="2:9" ht="15.75" customHeight="1" x14ac:dyDescent="0.25">
      <c r="B93" s="87"/>
      <c r="C93" s="87"/>
      <c r="D93" s="87"/>
      <c r="E93" s="87"/>
      <c r="F93" s="87"/>
      <c r="G93" s="87"/>
      <c r="H93" s="95"/>
      <c r="I93" s="95"/>
    </row>
    <row r="94" spans="2:9" ht="15.75" customHeight="1" x14ac:dyDescent="0.25">
      <c r="B94" s="95"/>
      <c r="C94" s="95"/>
      <c r="D94" s="95"/>
      <c r="E94" s="99"/>
      <c r="F94" s="95"/>
      <c r="G94" s="95"/>
      <c r="H94" s="95"/>
      <c r="I94" s="95"/>
    </row>
    <row r="95" spans="2:9" ht="15.75" customHeight="1" x14ac:dyDescent="0.25">
      <c r="B95" s="95"/>
      <c r="C95" s="100"/>
      <c r="D95" s="95"/>
      <c r="E95" s="95"/>
      <c r="F95" s="95"/>
      <c r="G95" s="95"/>
      <c r="H95" s="95"/>
      <c r="I95" s="95"/>
    </row>
    <row r="96" spans="2:9" ht="15.75" customHeight="1" x14ac:dyDescent="0.25">
      <c r="B96" s="95"/>
      <c r="C96" s="95"/>
      <c r="D96" s="95"/>
      <c r="E96" s="95"/>
      <c r="F96" s="95"/>
      <c r="G96" s="95"/>
      <c r="H96" s="95"/>
      <c r="I96" s="95"/>
    </row>
    <row r="97" spans="2:9" ht="15.75" customHeight="1" x14ac:dyDescent="0.25">
      <c r="B97" s="95"/>
      <c r="C97" s="95"/>
      <c r="D97" s="95"/>
      <c r="E97" s="95"/>
      <c r="F97" s="95"/>
      <c r="G97" s="95"/>
      <c r="H97" s="95"/>
      <c r="I97" s="95"/>
    </row>
    <row r="98" spans="2:9" ht="15.75" customHeight="1" x14ac:dyDescent="0.25">
      <c r="B98" s="95"/>
      <c r="C98" s="95"/>
      <c r="D98" s="95"/>
      <c r="E98" s="95"/>
      <c r="F98" s="95"/>
      <c r="G98" s="95"/>
      <c r="H98" s="95"/>
      <c r="I98" s="95"/>
    </row>
    <row r="99" spans="2:9" ht="15.75" customHeight="1" x14ac:dyDescent="0.25">
      <c r="B99" s="95"/>
      <c r="C99" s="95"/>
      <c r="D99" s="95"/>
      <c r="E99" s="95"/>
      <c r="F99" s="95"/>
      <c r="G99" s="95"/>
      <c r="H99" s="95"/>
      <c r="I99" s="95"/>
    </row>
    <row r="100" spans="2:9" ht="15.75" customHeight="1" x14ac:dyDescent="0.25">
      <c r="B100" s="95"/>
      <c r="C100" s="95"/>
      <c r="D100" s="95"/>
      <c r="E100" s="95"/>
      <c r="F100" s="95"/>
      <c r="G100" s="95"/>
      <c r="H100" s="95"/>
      <c r="I100" s="95"/>
    </row>
    <row r="101" spans="2:9" ht="15.75" customHeight="1" x14ac:dyDescent="0.25">
      <c r="B101" s="95"/>
      <c r="C101" s="95"/>
      <c r="D101" s="95"/>
      <c r="E101" s="95"/>
      <c r="F101" s="95"/>
      <c r="G101" s="95"/>
      <c r="H101" s="95"/>
      <c r="I101" s="95"/>
    </row>
    <row r="102" spans="2:9" ht="15.75" customHeight="1" x14ac:dyDescent="0.25">
      <c r="B102" s="95"/>
      <c r="C102" s="95"/>
      <c r="D102" s="95"/>
      <c r="E102" s="95"/>
      <c r="F102" s="95"/>
      <c r="G102" s="95"/>
      <c r="H102" s="95"/>
      <c r="I102" s="95"/>
    </row>
    <row r="103" spans="2:9" ht="15.75" customHeight="1" x14ac:dyDescent="0.25">
      <c r="B103" s="95"/>
      <c r="C103" s="95"/>
      <c r="D103" s="95"/>
      <c r="E103" s="95"/>
      <c r="F103" s="95"/>
      <c r="G103" s="95"/>
      <c r="H103" s="95"/>
      <c r="I103" s="95"/>
    </row>
    <row r="104" spans="2:9" ht="15.75" x14ac:dyDescent="0.25">
      <c r="B104" s="95"/>
      <c r="C104" s="95"/>
      <c r="D104" s="95"/>
      <c r="E104" s="95"/>
      <c r="F104" s="95"/>
      <c r="G104" s="95"/>
      <c r="H104" s="95"/>
      <c r="I104" s="95"/>
    </row>
    <row r="105" spans="2:9" ht="15.75" x14ac:dyDescent="0.25">
      <c r="B105" s="95"/>
      <c r="C105" s="95"/>
      <c r="D105" s="95"/>
      <c r="E105" s="95"/>
      <c r="F105" s="95"/>
      <c r="G105" s="95"/>
      <c r="H105" s="95"/>
      <c r="I105" s="95"/>
    </row>
    <row r="106" spans="2:9" ht="15.75" x14ac:dyDescent="0.25">
      <c r="B106" s="95"/>
      <c r="C106" s="95"/>
      <c r="D106" s="95"/>
      <c r="E106" s="95"/>
      <c r="F106" s="95"/>
      <c r="G106" s="95"/>
      <c r="H106" s="95"/>
      <c r="I106" s="95"/>
    </row>
    <row r="107" spans="2:9" ht="15.75" x14ac:dyDescent="0.25">
      <c r="B107" s="95"/>
      <c r="C107" s="95"/>
      <c r="D107" s="95"/>
      <c r="E107" s="95"/>
      <c r="F107" s="95"/>
      <c r="G107" s="95"/>
      <c r="H107" s="95"/>
      <c r="I107" s="95"/>
    </row>
    <row r="108" spans="2:9" ht="15.75" x14ac:dyDescent="0.25">
      <c r="B108" s="95"/>
      <c r="C108" s="95"/>
      <c r="D108" s="95"/>
      <c r="E108" s="95"/>
      <c r="F108" s="95"/>
      <c r="G108" s="95"/>
      <c r="H108" s="95"/>
      <c r="I108" s="95"/>
    </row>
    <row r="109" spans="2:9" ht="15.75" x14ac:dyDescent="0.25">
      <c r="B109" s="95"/>
      <c r="C109" s="95"/>
      <c r="D109" s="95"/>
      <c r="E109" s="95"/>
      <c r="F109" s="95"/>
      <c r="G109" s="95"/>
      <c r="H109" s="95"/>
      <c r="I109" s="95"/>
    </row>
    <row r="110" spans="2:9" ht="15.75" x14ac:dyDescent="0.25">
      <c r="B110" s="95"/>
      <c r="C110" s="95"/>
      <c r="D110" s="95"/>
      <c r="E110" s="95"/>
      <c r="F110" s="95"/>
      <c r="G110" s="95"/>
      <c r="H110" s="95"/>
      <c r="I110" s="95"/>
    </row>
  </sheetData>
  <mergeCells count="1">
    <mergeCell ref="B1:E1"/>
  </mergeCells>
  <pageMargins left="0.75" right="0.75" top="1" bottom="1" header="0.5" footer="0.5"/>
  <pageSetup scale="64"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Chapter 6</vt:lpstr>
      <vt:lpstr>Section 6.2</vt:lpstr>
      <vt:lpstr>Section 6.4</vt:lpstr>
      <vt:lpstr>Bid price</vt:lpstr>
      <vt:lpstr>Section 6.5</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2009-02-05T19:45:20Z</cp:lastPrinted>
  <dcterms:created xsi:type="dcterms:W3CDTF">2008-02-06T20:32:32Z</dcterms:created>
  <dcterms:modified xsi:type="dcterms:W3CDTF">2022-04-14T20:15:39Z</dcterms:modified>
</cp:coreProperties>
</file>